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399\Documents\Documentos FIPATERM\Calculadoras\Calculadoras consumo GDMTO Y GDMTH\"/>
    </mc:Choice>
  </mc:AlternateContent>
  <bookViews>
    <workbookView xWindow="0" yWindow="0" windowWidth="15345" windowHeight="4425" activeTab="3"/>
  </bookViews>
  <sheets>
    <sheet name="GDMTO" sheetId="1" r:id="rId1"/>
    <sheet name="Recibo-GDMTO" sheetId="7" r:id="rId2"/>
    <sheet name="GDMTH" sheetId="2" r:id="rId3"/>
    <sheet name="Recibo-GDMTH" sheetId="6" r:id="rId4"/>
    <sheet name="FP" sheetId="3" r:id="rId5"/>
    <sheet name="FP Bonif o Pena" sheetId="5" r:id="rId6"/>
    <sheet name="Factor de Carga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6" l="1"/>
  <c r="F28" i="6"/>
  <c r="E44" i="2"/>
  <c r="D21" i="2"/>
  <c r="J4" i="2" l="1"/>
  <c r="J5" i="2"/>
  <c r="J35" i="6" l="1"/>
  <c r="C9" i="6"/>
  <c r="U51" i="2"/>
  <c r="N23" i="2" s="1"/>
  <c r="U49" i="2"/>
  <c r="N21" i="2" s="1"/>
  <c r="U46" i="2"/>
  <c r="J24" i="2" s="1"/>
  <c r="J6" i="2"/>
  <c r="J7" i="2"/>
  <c r="J8" i="2"/>
  <c r="J3" i="2"/>
  <c r="Q54" i="2"/>
  <c r="R54" i="2"/>
  <c r="S54" i="2"/>
  <c r="T54" i="2"/>
  <c r="T50" i="2"/>
  <c r="T51" i="2"/>
  <c r="T49" i="2"/>
  <c r="T46" i="2"/>
  <c r="T47" i="2"/>
  <c r="T48" i="2"/>
  <c r="T52" i="2"/>
  <c r="T53" i="2"/>
  <c r="T45" i="2"/>
  <c r="L20" i="2" s="1"/>
  <c r="D27" i="6" s="1"/>
  <c r="S50" i="2"/>
  <c r="U50" i="2" s="1"/>
  <c r="N22" i="2" s="1"/>
  <c r="S51" i="2"/>
  <c r="S49" i="2"/>
  <c r="S46" i="2"/>
  <c r="S47" i="2"/>
  <c r="U47" i="2" s="1"/>
  <c r="S48" i="2"/>
  <c r="U48" i="2" s="1"/>
  <c r="S52" i="2"/>
  <c r="S53" i="2"/>
  <c r="U53" i="2" s="1"/>
  <c r="S45" i="2"/>
  <c r="R50" i="2"/>
  <c r="R51" i="2"/>
  <c r="R49" i="2"/>
  <c r="R46" i="2"/>
  <c r="R47" i="2"/>
  <c r="R48" i="2"/>
  <c r="R52" i="2"/>
  <c r="U52" i="2" s="1"/>
  <c r="O24" i="2" s="1"/>
  <c r="R53" i="2"/>
  <c r="R45" i="2"/>
  <c r="Q50" i="2"/>
  <c r="Q51" i="2"/>
  <c r="Q49" i="2"/>
  <c r="Q46" i="2"/>
  <c r="Q47" i="2"/>
  <c r="Q48" i="2"/>
  <c r="Q52" i="2"/>
  <c r="Q53" i="2"/>
  <c r="Q45" i="2"/>
  <c r="K21" i="2" l="1"/>
  <c r="K23" i="2"/>
  <c r="K22" i="2"/>
  <c r="I21" i="2"/>
  <c r="I22" i="2"/>
  <c r="I23" i="2"/>
  <c r="M21" i="2"/>
  <c r="M23" i="2"/>
  <c r="M22" i="2"/>
  <c r="J11" i="2"/>
  <c r="F17" i="6" s="1"/>
  <c r="H13" i="2"/>
  <c r="M41" i="1" l="1"/>
  <c r="M40" i="1"/>
  <c r="M39" i="1"/>
  <c r="M38" i="1"/>
  <c r="M37" i="1"/>
  <c r="M36" i="1"/>
  <c r="C9" i="7"/>
  <c r="F22" i="7"/>
  <c r="M16" i="1"/>
  <c r="M11" i="1"/>
  <c r="J17" i="1"/>
  <c r="M4" i="1" l="1"/>
  <c r="L5" i="1"/>
  <c r="M5" i="1" s="1"/>
  <c r="L3" i="1"/>
  <c r="M3" i="1" s="1"/>
  <c r="I7" i="1" l="1"/>
  <c r="O12" i="1"/>
  <c r="O17" i="1" s="1"/>
  <c r="L12" i="1"/>
  <c r="L17" i="1" s="1"/>
  <c r="N12" i="1"/>
  <c r="N17" i="1" s="1"/>
  <c r="M28" i="1"/>
  <c r="M27" i="1"/>
  <c r="O4" i="1"/>
  <c r="O6" i="1" s="1"/>
  <c r="E28" i="1"/>
  <c r="K13" i="1" l="1"/>
  <c r="K18" i="1" s="1"/>
  <c r="P13" i="1"/>
  <c r="P18" i="1" s="1"/>
  <c r="D11" i="1"/>
  <c r="E11" i="1"/>
  <c r="F15" i="7"/>
  <c r="F14" i="7" l="1"/>
  <c r="F13" i="7"/>
  <c r="D30" i="7"/>
  <c r="D29" i="7"/>
  <c r="D28" i="7"/>
  <c r="D27" i="7"/>
  <c r="D26" i="7"/>
  <c r="D25" i="7"/>
  <c r="D24" i="7"/>
  <c r="D23" i="7"/>
  <c r="D22" i="7"/>
  <c r="G27" i="6" l="1"/>
  <c r="D29" i="6"/>
  <c r="D30" i="6"/>
  <c r="D31" i="6"/>
  <c r="D32" i="6"/>
  <c r="D33" i="6"/>
  <c r="D34" i="6"/>
  <c r="D35" i="6"/>
  <c r="D28" i="6"/>
  <c r="J27" i="6"/>
  <c r="F23" i="6"/>
  <c r="F22" i="6"/>
  <c r="F21" i="6"/>
  <c r="F15" i="6"/>
  <c r="E33" i="6" s="1"/>
  <c r="G33" i="6" s="1"/>
  <c r="F14" i="6"/>
  <c r="E32" i="6" s="1"/>
  <c r="F13" i="6"/>
  <c r="E31" i="6" s="1"/>
  <c r="G32" i="6" l="1"/>
  <c r="G31" i="6"/>
  <c r="F16" i="6"/>
  <c r="E29" i="6" l="1"/>
  <c r="G29" i="6" s="1"/>
  <c r="E35" i="6"/>
  <c r="G35" i="6" s="1"/>
  <c r="E30" i="6"/>
  <c r="G30" i="6" s="1"/>
  <c r="E11" i="5" l="1"/>
  <c r="F21" i="5" l="1"/>
  <c r="F22" i="5" s="1"/>
  <c r="F19" i="5"/>
  <c r="F20" i="5" s="1"/>
  <c r="E10" i="3" l="1"/>
  <c r="E4" i="2" l="1"/>
  <c r="E5" i="2"/>
  <c r="B10" i="2"/>
  <c r="B9" i="2"/>
  <c r="C10" i="2" s="1"/>
  <c r="D10" i="2" s="1"/>
  <c r="L2" i="2"/>
  <c r="D26" i="2"/>
  <c r="D27" i="2" s="1"/>
  <c r="E6" i="2" l="1"/>
  <c r="D30" i="2"/>
  <c r="D31" i="2" s="1"/>
  <c r="D28" i="2"/>
  <c r="D29" i="2" s="1"/>
  <c r="E43" i="2"/>
  <c r="B53" i="2" s="1"/>
  <c r="C6" i="2"/>
  <c r="H14" i="2" s="1"/>
  <c r="I14" i="2" s="1"/>
  <c r="C46" i="2"/>
  <c r="E51" i="2" s="1"/>
  <c r="E52" i="2" s="1"/>
  <c r="E19" i="2"/>
  <c r="B37" i="2" s="1"/>
  <c r="J9" i="2" l="1"/>
  <c r="E41" i="2"/>
  <c r="E42" i="2" s="1"/>
  <c r="C22" i="2"/>
  <c r="D22" i="2" s="1"/>
  <c r="F10" i="1"/>
  <c r="J14" i="2" l="1"/>
  <c r="J16" i="2"/>
  <c r="E32" i="2"/>
  <c r="G28" i="6"/>
  <c r="D32" i="2"/>
  <c r="D33" i="2" s="1"/>
  <c r="E21" i="2"/>
  <c r="B38" i="2" s="1"/>
  <c r="D20" i="2"/>
  <c r="E20" i="2"/>
  <c r="G34" i="6"/>
  <c r="E53" i="2"/>
  <c r="E54" i="2" s="1"/>
  <c r="E55" i="2" s="1"/>
  <c r="E56" i="2" s="1"/>
  <c r="E58" i="2" s="1"/>
  <c r="E22" i="2"/>
  <c r="D23" i="2"/>
  <c r="E23" i="2" s="1"/>
  <c r="B39" i="2" s="1"/>
  <c r="E33" i="2"/>
  <c r="C24" i="2"/>
  <c r="D24" i="2" s="1"/>
  <c r="C34" i="2"/>
  <c r="C31" i="1"/>
  <c r="J28" i="6" l="1"/>
  <c r="J30" i="6" s="1"/>
  <c r="G36" i="6"/>
  <c r="C26" i="2"/>
  <c r="C28" i="2" s="1"/>
  <c r="C30" i="2" s="1"/>
  <c r="D25" i="2"/>
  <c r="D34" i="2"/>
  <c r="B44" i="2"/>
  <c r="E24" i="2"/>
  <c r="E37" i="1"/>
  <c r="B24" i="1"/>
  <c r="D21" i="7" s="1"/>
  <c r="E5" i="1"/>
  <c r="E4" i="1"/>
  <c r="J21" i="7" l="1"/>
  <c r="G21" i="7"/>
  <c r="G22" i="7"/>
  <c r="D35" i="2"/>
  <c r="E35" i="2" s="1"/>
  <c r="B45" i="2" s="1"/>
  <c r="E34" i="2"/>
  <c r="E25" i="2"/>
  <c r="B40" i="2" s="1"/>
  <c r="E26" i="2"/>
  <c r="E6" i="1"/>
  <c r="E38" i="1"/>
  <c r="F4" i="1" l="1"/>
  <c r="C17" i="1"/>
  <c r="E17" i="1" s="1"/>
  <c r="E27" i="7" s="1"/>
  <c r="G27" i="7" s="1"/>
  <c r="C13" i="1"/>
  <c r="D13" i="1" s="1"/>
  <c r="F5" i="1"/>
  <c r="E29" i="1"/>
  <c r="E39" i="1" s="1"/>
  <c r="E40" i="1" s="1"/>
  <c r="F16" i="7"/>
  <c r="E27" i="2"/>
  <c r="B41" i="2" s="1"/>
  <c r="E28" i="2"/>
  <c r="F6" i="1" l="1"/>
  <c r="E12" i="1"/>
  <c r="D19" i="1"/>
  <c r="D20" i="1" s="1"/>
  <c r="C21" i="1"/>
  <c r="C15" i="1"/>
  <c r="D17" i="1"/>
  <c r="D18" i="1" s="1"/>
  <c r="E13" i="1"/>
  <c r="E14" i="1" s="1"/>
  <c r="E29" i="2"/>
  <c r="B42" i="2" s="1"/>
  <c r="E18" i="1"/>
  <c r="D21" i="1"/>
  <c r="D22" i="1" s="1"/>
  <c r="D14" i="1"/>
  <c r="D15" i="1"/>
  <c r="E41" i="1"/>
  <c r="E42" i="1" s="1"/>
  <c r="F28" i="7" l="1"/>
  <c r="G28" i="7" s="1"/>
  <c r="D12" i="1"/>
  <c r="F12" i="1" s="1"/>
  <c r="B25" i="1" s="1"/>
  <c r="F17" i="1"/>
  <c r="E26" i="7"/>
  <c r="G26" i="7" s="1"/>
  <c r="F13" i="1"/>
  <c r="E23" i="7" s="1"/>
  <c r="G23" i="7" s="1"/>
  <c r="E19" i="1"/>
  <c r="E20" i="1" s="1"/>
  <c r="F20" i="1" s="1"/>
  <c r="B29" i="1" s="1"/>
  <c r="F11" i="1"/>
  <c r="F19" i="1" s="1"/>
  <c r="F18" i="1"/>
  <c r="B28" i="1" s="1"/>
  <c r="E21" i="1"/>
  <c r="F21" i="1" s="1"/>
  <c r="E30" i="7" s="1"/>
  <c r="G30" i="7" s="1"/>
  <c r="E15" i="1"/>
  <c r="E25" i="7" s="1"/>
  <c r="G25" i="7" s="1"/>
  <c r="D16" i="1"/>
  <c r="E24" i="7"/>
  <c r="G24" i="7" s="1"/>
  <c r="E31" i="2"/>
  <c r="B43" i="2" s="1"/>
  <c r="E30" i="2"/>
  <c r="F14" i="1"/>
  <c r="B26" i="1" s="1"/>
  <c r="E22" i="1" l="1"/>
  <c r="F22" i="1" s="1"/>
  <c r="B30" i="1" s="1"/>
  <c r="F29" i="7"/>
  <c r="G29" i="7" s="1"/>
  <c r="G31" i="7" s="1"/>
  <c r="E16" i="1"/>
  <c r="F16" i="1" s="1"/>
  <c r="B27" i="1" s="1"/>
  <c r="F15" i="1"/>
  <c r="B46" i="2"/>
  <c r="J24" i="7" l="1"/>
  <c r="B31" i="1"/>
  <c r="B33" i="1" s="1"/>
  <c r="J22" i="7"/>
  <c r="B51" i="2"/>
  <c r="B37" i="1" l="1"/>
  <c r="B38" i="1" s="1"/>
  <c r="J23" i="7" s="1"/>
  <c r="B39" i="1" l="1"/>
  <c r="B40" i="1" s="1"/>
  <c r="B41" i="1" s="1"/>
  <c r="J27" i="7" s="1"/>
  <c r="J31" i="6"/>
  <c r="J29" i="6"/>
  <c r="J32" i="6" l="1"/>
  <c r="B54" i="2"/>
  <c r="B55" i="2" s="1"/>
  <c r="J33" i="6" s="1"/>
  <c r="B42" i="1"/>
  <c r="J25" i="7"/>
  <c r="J26" i="7" s="1"/>
  <c r="J28" i="7" s="1"/>
  <c r="J34" i="6" l="1"/>
  <c r="J36" i="6" s="1"/>
  <c r="H9" i="6" s="1"/>
  <c r="B56" i="2"/>
  <c r="B58" i="2" s="1"/>
  <c r="B44" i="1"/>
  <c r="J29" i="7"/>
  <c r="J30" i="7" s="1"/>
  <c r="H9" i="7" s="1"/>
</calcChain>
</file>

<file path=xl/sharedStrings.xml><?xml version="1.0" encoding="utf-8"?>
<sst xmlns="http://schemas.openxmlformats.org/spreadsheetml/2006/main" count="355" uniqueCount="149">
  <si>
    <t>Datos del Servicio</t>
  </si>
  <si>
    <t>Tarifa</t>
  </si>
  <si>
    <t>GDMTO</t>
  </si>
  <si>
    <t>Precios</t>
  </si>
  <si>
    <t>Fin de mes</t>
  </si>
  <si>
    <t>Dias</t>
  </si>
  <si>
    <t>%</t>
  </si>
  <si>
    <t>Transmision kwh</t>
  </si>
  <si>
    <t>Distribucion</t>
  </si>
  <si>
    <t>CENACE</t>
  </si>
  <si>
    <t>Suministro</t>
  </si>
  <si>
    <t>MEM</t>
  </si>
  <si>
    <t>Energía</t>
  </si>
  <si>
    <t>Capacidad</t>
  </si>
  <si>
    <t>Periodo</t>
  </si>
  <si>
    <t>Inicio</t>
  </si>
  <si>
    <t>$/mes</t>
  </si>
  <si>
    <t>Final</t>
  </si>
  <si>
    <t>Julio</t>
  </si>
  <si>
    <t>$/kWh</t>
  </si>
  <si>
    <t>$/kW</t>
  </si>
  <si>
    <t>Transmision</t>
  </si>
  <si>
    <t>Lect Actual</t>
  </si>
  <si>
    <t>Lect Anterior</t>
  </si>
  <si>
    <t>Diferencia</t>
  </si>
  <si>
    <t xml:space="preserve">Consumo </t>
  </si>
  <si>
    <t>kWh</t>
  </si>
  <si>
    <t>Agosto</t>
  </si>
  <si>
    <t>Demanda</t>
  </si>
  <si>
    <t xml:space="preserve">kW </t>
  </si>
  <si>
    <t>Factor de Potencia</t>
  </si>
  <si>
    <t>kVArh</t>
  </si>
  <si>
    <t>Si es mayor a 90 hacer Bonificacion, si es menor a 90 hacer penalización</t>
  </si>
  <si>
    <t>Concepto</t>
  </si>
  <si>
    <t>Diario</t>
  </si>
  <si>
    <t>Total</t>
  </si>
  <si>
    <t>Distribución</t>
  </si>
  <si>
    <t>kW</t>
  </si>
  <si>
    <t>$</t>
  </si>
  <si>
    <t>Transmisión</t>
  </si>
  <si>
    <t>sCnMEM</t>
  </si>
  <si>
    <t>Bonificacion</t>
  </si>
  <si>
    <t>1/4(1-(90/FP))*100</t>
  </si>
  <si>
    <t>Penalizacion</t>
  </si>
  <si>
    <t>3/5((90/FP)-1)*100</t>
  </si>
  <si>
    <t>Energia</t>
  </si>
  <si>
    <t>PENALIZACION</t>
  </si>
  <si>
    <t>Total Calculo</t>
  </si>
  <si>
    <t>Real Recibo</t>
  </si>
  <si>
    <t>CALCULO</t>
  </si>
  <si>
    <t>RECIBO REAL</t>
  </si>
  <si>
    <t>Cargo Fijo + Energia</t>
  </si>
  <si>
    <t>2% Baja Tension</t>
  </si>
  <si>
    <t>Subtotal</t>
  </si>
  <si>
    <t>IVA 16%</t>
  </si>
  <si>
    <t>Real</t>
  </si>
  <si>
    <t>Division</t>
  </si>
  <si>
    <t>Valle de México SUR</t>
  </si>
  <si>
    <t>GDMTH</t>
  </si>
  <si>
    <t>Septiembre</t>
  </si>
  <si>
    <t>$/kWh Base</t>
  </si>
  <si>
    <t>$/kWh Int</t>
  </si>
  <si>
    <t>$/kWh Pun</t>
  </si>
  <si>
    <t>kWh Base</t>
  </si>
  <si>
    <t>kWh Intermedia</t>
  </si>
  <si>
    <t>kWh Punta</t>
  </si>
  <si>
    <t>kW Base</t>
  </si>
  <si>
    <t>kW Intermedia</t>
  </si>
  <si>
    <t>kW Punta</t>
  </si>
  <si>
    <t>kWMaxAñoMovil</t>
  </si>
  <si>
    <t>Lectura Actual</t>
  </si>
  <si>
    <t>Lectura Anterior</t>
  </si>
  <si>
    <t>Generación B</t>
  </si>
  <si>
    <t>Generación I</t>
  </si>
  <si>
    <t>Generación P</t>
  </si>
  <si>
    <t>Generacion B</t>
  </si>
  <si>
    <t>Facturacion</t>
  </si>
  <si>
    <t>Mas alumbrado</t>
  </si>
  <si>
    <t>Peninsular</t>
  </si>
  <si>
    <t>Historico</t>
  </si>
  <si>
    <t>Max kW</t>
  </si>
  <si>
    <t>Consumo</t>
  </si>
  <si>
    <t>FP</t>
  </si>
  <si>
    <t>FC</t>
  </si>
  <si>
    <t>Precio Medio</t>
  </si>
  <si>
    <t xml:space="preserve">Apartado 3.5.3 Acuerdo A/058/2017 </t>
  </si>
  <si>
    <t>min [Dmaxpunta, (Q mes/24*d*F.C))</t>
  </si>
  <si>
    <t>F.C.</t>
  </si>
  <si>
    <t>Q</t>
  </si>
  <si>
    <t>24*30 dias * 0.57</t>
  </si>
  <si>
    <t>Factor de Carga</t>
  </si>
  <si>
    <t>BONIFICACION</t>
  </si>
  <si>
    <t>Alumbrado 5%</t>
  </si>
  <si>
    <t>http://drive.cre.gob.mx/Drive/ObtenerAcuerdoAnexo/?id=111</t>
  </si>
  <si>
    <t>Consumo/Demanda*Periodo (Horas)</t>
  </si>
  <si>
    <t>Consumo Total</t>
  </si>
  <si>
    <t>Demanda Max kW</t>
  </si>
  <si>
    <t>Horas</t>
  </si>
  <si>
    <t>Días Facturados</t>
  </si>
  <si>
    <t>Factor de Carga por Tarifas</t>
  </si>
  <si>
    <t>xx.xx</t>
  </si>
  <si>
    <t>Ejemplo</t>
  </si>
  <si>
    <t xml:space="preserve">Factor de Potencia </t>
  </si>
  <si>
    <t>Bonificacio</t>
  </si>
  <si>
    <t>kVARh</t>
  </si>
  <si>
    <t>SIMULACIÓN RECIBO EN GDMTH</t>
  </si>
  <si>
    <t>SIMULACIÓN RECIBO EN GDMTO</t>
  </si>
  <si>
    <t>Multiplicador</t>
  </si>
  <si>
    <t>NOMBRE DEL CONTRATO:</t>
  </si>
  <si>
    <t>MARZO</t>
  </si>
  <si>
    <t>ABRIL</t>
  </si>
  <si>
    <t>COSTOS DE LA ENERGIA EN EL MERCADO ELECTRICO MAYORISTA</t>
  </si>
  <si>
    <t>Importe MXN</t>
  </si>
  <si>
    <t>PRECIO UNITARIO</t>
  </si>
  <si>
    <t>SCnMEM</t>
  </si>
  <si>
    <t>Consumo INICIAL</t>
  </si>
  <si>
    <t>Demanda INICIAL</t>
  </si>
  <si>
    <t>KWH</t>
  </si>
  <si>
    <t>KVARH</t>
  </si>
  <si>
    <t xml:space="preserve">    |INDUSTRIAS FRICK SA DE CV</t>
  </si>
  <si>
    <t>Ing. Carlos Daniel Rodríguez P.</t>
  </si>
  <si>
    <t>base</t>
  </si>
  <si>
    <t>intermedia</t>
  </si>
  <si>
    <t>punta</t>
  </si>
  <si>
    <t>de</t>
  </si>
  <si>
    <t>potencia</t>
  </si>
  <si>
    <t>area de pegado abajo en verde</t>
  </si>
  <si>
    <t>NUEVOS CONSUMOS PARA SIMULACION</t>
  </si>
  <si>
    <t>DATOS ACTUALES</t>
  </si>
  <si>
    <t>Generación</t>
  </si>
  <si>
    <t>B</t>
  </si>
  <si>
    <t>I</t>
  </si>
  <si>
    <t>P</t>
  </si>
  <si>
    <t>Generacion I</t>
  </si>
  <si>
    <t>Generacion P</t>
  </si>
  <si>
    <t>DEM DIST</t>
  </si>
  <si>
    <t>DEM CAP</t>
  </si>
  <si>
    <t>DATOS PARA PRECIOS</t>
  </si>
  <si>
    <t>KW DIST</t>
  </si>
  <si>
    <t>KW CAP</t>
  </si>
  <si>
    <t>KWH (Q)</t>
  </si>
  <si>
    <t>kWh base</t>
  </si>
  <si>
    <t>kWh intermedia</t>
  </si>
  <si>
    <t>kWh punta</t>
  </si>
  <si>
    <t>kW base</t>
  </si>
  <si>
    <t>kW intermedia</t>
  </si>
  <si>
    <t>kW punta</t>
  </si>
  <si>
    <t>Factor de potencia %</t>
  </si>
  <si>
    <t xml:space="preserve">    |LEAR CORPORATION MEXICO SA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</si>
</sst>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&quot;$&quot;* #,##0.0000_-;\-&quot;$&quot;* #,##0.0000_-;_-&quot;$&quot;* &quot;-&quot;??_-;_-@_-"/>
    <numFmt numFmtId="166" formatCode="0.0%"/>
    <numFmt numFmtId="167" formatCode="_-&quot;$&quot;* #,##0.000_-;\-&quot;$&quot;* #,##0.000_-;_-&quot;$&quot;* &quot;-&quot;??_-;_-@_-"/>
    <numFmt numFmtId="168" formatCode="_-[$$-80A]* #,##0.00_-;\-[$$-80A]* #,##0.00_-;_-[$$-80A]* &quot;-&quot;??_-;_-@_-"/>
    <numFmt numFmtId="169" formatCode="_-* #,##0_-;\-* #,##0_-;_-* &quot;-&quot;??_-;_-@_-"/>
    <numFmt numFmtId="170" formatCode="_-&quot;$&quot;* #,##0.0_-;\-&quot;$&quot;* #,##0.0_-;_-&quot;$&quot;* &quot;-&quot;??_-;_-@_-"/>
    <numFmt numFmtId="171" formatCode="_-[$$-80A]* #,##0.0000_-;\-[$$-80A]* #,##0.00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8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4" fontId="0" fillId="3" borderId="0" xfId="0" applyNumberFormat="1" applyFill="1"/>
    <xf numFmtId="9" fontId="0" fillId="0" borderId="0" xfId="2" applyFont="1" applyAlignment="1">
      <alignment horizontal="center"/>
    </xf>
    <xf numFmtId="44" fontId="0" fillId="0" borderId="0" xfId="1" applyFont="1"/>
    <xf numFmtId="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2" xfId="0" applyBorder="1"/>
    <xf numFmtId="44" fontId="0" fillId="0" borderId="2" xfId="1" applyFont="1" applyBorder="1" applyAlignment="1">
      <alignment horizontal="center"/>
    </xf>
    <xf numFmtId="44" fontId="3" fillId="0" borderId="3" xfId="1" applyFont="1" applyBorder="1"/>
    <xf numFmtId="0" fontId="3" fillId="0" borderId="4" xfId="0" applyFont="1" applyBorder="1"/>
    <xf numFmtId="0" fontId="0" fillId="0" borderId="5" xfId="0" applyBorder="1"/>
    <xf numFmtId="1" fontId="0" fillId="0" borderId="6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44" fontId="0" fillId="0" borderId="8" xfId="1" applyFont="1" applyBorder="1" applyAlignment="1">
      <alignment horizontal="center"/>
    </xf>
    <xf numFmtId="44" fontId="0" fillId="0" borderId="9" xfId="1" applyFont="1" applyBorder="1"/>
    <xf numFmtId="2" fontId="0" fillId="0" borderId="5" xfId="0" applyNumberFormat="1" applyBorder="1" applyAlignment="1">
      <alignment horizontal="center"/>
    </xf>
    <xf numFmtId="1" fontId="0" fillId="0" borderId="6" xfId="0" applyNumberFormat="1" applyBorder="1"/>
    <xf numFmtId="44" fontId="3" fillId="0" borderId="9" xfId="1" applyFont="1" applyBorder="1"/>
    <xf numFmtId="0" fontId="3" fillId="0" borderId="4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3" fillId="0" borderId="9" xfId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44" fontId="0" fillId="0" borderId="8" xfId="1" applyFont="1" applyBorder="1"/>
    <xf numFmtId="0" fontId="0" fillId="0" borderId="4" xfId="0" applyBorder="1"/>
    <xf numFmtId="0" fontId="0" fillId="0" borderId="10" xfId="0" applyBorder="1"/>
    <xf numFmtId="44" fontId="0" fillId="0" borderId="11" xfId="0" applyNumberFormat="1" applyBorder="1"/>
    <xf numFmtId="164" fontId="0" fillId="0" borderId="0" xfId="0" applyNumberFormat="1"/>
    <xf numFmtId="44" fontId="0" fillId="0" borderId="0" xfId="0" applyNumberFormat="1"/>
    <xf numFmtId="44" fontId="3" fillId="0" borderId="11" xfId="0" applyNumberFormat="1" applyFont="1" applyBorder="1"/>
    <xf numFmtId="44" fontId="3" fillId="0" borderId="11" xfId="1" applyFont="1" applyBorder="1"/>
    <xf numFmtId="44" fontId="2" fillId="0" borderId="9" xfId="0" applyNumberFormat="1" applyFont="1" applyBorder="1"/>
    <xf numFmtId="44" fontId="2" fillId="0" borderId="0" xfId="0" applyNumberFormat="1" applyFont="1"/>
    <xf numFmtId="0" fontId="0" fillId="0" borderId="0" xfId="0" applyBorder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/>
    <xf numFmtId="44" fontId="3" fillId="0" borderId="0" xfId="1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0" borderId="16" xfId="0" applyNumberFormat="1" applyBorder="1"/>
    <xf numFmtId="165" fontId="0" fillId="0" borderId="16" xfId="0" applyNumberFormat="1" applyBorder="1"/>
    <xf numFmtId="44" fontId="0" fillId="0" borderId="16" xfId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44" fontId="0" fillId="0" borderId="19" xfId="0" applyNumberFormat="1" applyBorder="1"/>
    <xf numFmtId="0" fontId="3" fillId="0" borderId="12" xfId="0" applyFont="1" applyBorder="1"/>
    <xf numFmtId="44" fontId="0" fillId="0" borderId="20" xfId="1" applyFont="1" applyBorder="1"/>
    <xf numFmtId="0" fontId="0" fillId="0" borderId="20" xfId="0" applyBorder="1"/>
    <xf numFmtId="44" fontId="0" fillId="0" borderId="21" xfId="1" applyFont="1" applyBorder="1"/>
    <xf numFmtId="0" fontId="0" fillId="0" borderId="21" xfId="0" applyBorder="1"/>
    <xf numFmtId="44" fontId="0" fillId="0" borderId="22" xfId="1" applyFont="1" applyBorder="1"/>
    <xf numFmtId="44" fontId="0" fillId="0" borderId="23" xfId="1" applyFont="1" applyBorder="1"/>
    <xf numFmtId="0" fontId="0" fillId="2" borderId="20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167" fontId="0" fillId="0" borderId="20" xfId="1" applyNumberFormat="1" applyFont="1" applyBorder="1"/>
    <xf numFmtId="165" fontId="0" fillId="0" borderId="20" xfId="1" applyNumberFormat="1" applyFont="1" applyBorder="1"/>
    <xf numFmtId="1" fontId="3" fillId="0" borderId="5" xfId="1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0" xfId="0" applyFont="1" applyFill="1" applyBorder="1"/>
    <xf numFmtId="0" fontId="2" fillId="2" borderId="21" xfId="0" applyFont="1" applyFill="1" applyBorder="1"/>
    <xf numFmtId="0" fontId="3" fillId="2" borderId="4" xfId="0" applyFont="1" applyFill="1" applyBorder="1"/>
    <xf numFmtId="44" fontId="0" fillId="2" borderId="0" xfId="1" applyFont="1" applyFill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3" fillId="0" borderId="6" xfId="1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1" fillId="0" borderId="0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1" fillId="0" borderId="9" xfId="1" applyFont="1" applyBorder="1"/>
    <xf numFmtId="1" fontId="3" fillId="0" borderId="11" xfId="0" applyNumberFormat="1" applyFont="1" applyBorder="1" applyAlignment="1">
      <alignment horizontal="center"/>
    </xf>
    <xf numFmtId="0" fontId="0" fillId="0" borderId="10" xfId="0" applyFill="1" applyBorder="1"/>
    <xf numFmtId="44" fontId="0" fillId="0" borderId="0" xfId="1" applyFont="1" applyFill="1" applyBorder="1"/>
    <xf numFmtId="0" fontId="0" fillId="0" borderId="15" xfId="0" applyFill="1" applyBorder="1"/>
    <xf numFmtId="0" fontId="0" fillId="0" borderId="0" xfId="0" applyFill="1" applyBorder="1" applyAlignment="1"/>
    <xf numFmtId="2" fontId="0" fillId="0" borderId="8" xfId="0" applyNumberFormat="1" applyBorder="1" applyAlignment="1">
      <alignment horizontal="center"/>
    </xf>
    <xf numFmtId="2" fontId="0" fillId="0" borderId="0" xfId="0" applyNumberFormat="1"/>
    <xf numFmtId="0" fontId="4" fillId="0" borderId="0" xfId="3"/>
    <xf numFmtId="0" fontId="5" fillId="0" borderId="20" xfId="0" applyFont="1" applyFill="1" applyBorder="1"/>
    <xf numFmtId="0" fontId="5" fillId="2" borderId="21" xfId="0" applyFont="1" applyFill="1" applyBorder="1"/>
    <xf numFmtId="44" fontId="0" fillId="0" borderId="6" xfId="0" applyNumberFormat="1" applyFill="1" applyBorder="1"/>
    <xf numFmtId="44" fontId="0" fillId="0" borderId="0" xfId="1" applyFont="1" applyFill="1"/>
    <xf numFmtId="44" fontId="0" fillId="0" borderId="11" xfId="0" applyNumberFormat="1" applyFill="1" applyBorder="1"/>
    <xf numFmtId="0" fontId="3" fillId="0" borderId="10" xfId="0" applyFont="1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165" fontId="0" fillId="0" borderId="11" xfId="1" applyNumberFormat="1" applyFont="1" applyBorder="1"/>
    <xf numFmtId="17" fontId="0" fillId="0" borderId="7" xfId="0" applyNumberFormat="1" applyBorder="1"/>
    <xf numFmtId="165" fontId="0" fillId="0" borderId="9" xfId="1" applyNumberFormat="1" applyFont="1" applyBorder="1"/>
    <xf numFmtId="0" fontId="0" fillId="0" borderId="3" xfId="0" applyBorder="1"/>
    <xf numFmtId="12" fontId="0" fillId="0" borderId="0" xfId="0" applyNumberFormat="1"/>
    <xf numFmtId="168" fontId="0" fillId="0" borderId="0" xfId="0" applyNumberFormat="1"/>
    <xf numFmtId="0" fontId="0" fillId="0" borderId="0" xfId="0" applyFill="1"/>
    <xf numFmtId="0" fontId="0" fillId="4" borderId="15" xfId="0" applyFill="1" applyBorder="1"/>
    <xf numFmtId="0" fontId="0" fillId="4" borderId="0" xfId="0" applyFill="1" applyBorder="1"/>
    <xf numFmtId="0" fontId="0" fillId="4" borderId="16" xfId="0" applyFill="1" applyBorder="1"/>
    <xf numFmtId="0" fontId="6" fillId="4" borderId="0" xfId="0" applyFont="1" applyFill="1" applyBorder="1" applyAlignment="1">
      <alignment horizontal="center"/>
    </xf>
    <xf numFmtId="168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/>
    <xf numFmtId="0" fontId="0" fillId="6" borderId="0" xfId="0" applyFill="1" applyBorder="1"/>
    <xf numFmtId="168" fontId="11" fillId="6" borderId="0" xfId="0" applyNumberFormat="1" applyFont="1" applyFill="1" applyBorder="1" applyAlignment="1">
      <alignment vertical="center"/>
    </xf>
    <xf numFmtId="44" fontId="12" fillId="4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/>
    <xf numFmtId="1" fontId="12" fillId="4" borderId="0" xfId="0" applyNumberFormat="1" applyFont="1" applyFill="1" applyBorder="1" applyAlignment="1">
      <alignment horizontal="center" vertical="center"/>
    </xf>
    <xf numFmtId="44" fontId="11" fillId="4" borderId="0" xfId="0" applyNumberFormat="1" applyFont="1" applyFill="1" applyBorder="1"/>
    <xf numFmtId="165" fontId="12" fillId="6" borderId="0" xfId="1" applyNumberFormat="1" applyFont="1" applyFill="1" applyBorder="1" applyAlignment="1">
      <alignment horizontal="right" vertical="center"/>
    </xf>
    <xf numFmtId="169" fontId="12" fillId="6" borderId="0" xfId="4" applyNumberFormat="1" applyFont="1" applyFill="1" applyBorder="1" applyAlignment="1">
      <alignment horizontal="center" vertical="center"/>
    </xf>
    <xf numFmtId="44" fontId="11" fillId="6" borderId="0" xfId="1" applyFont="1" applyFill="1" applyBorder="1"/>
    <xf numFmtId="165" fontId="12" fillId="4" borderId="0" xfId="1" applyNumberFormat="1" applyFont="1" applyFill="1" applyBorder="1" applyAlignment="1">
      <alignment horizontal="right" vertical="center"/>
    </xf>
    <xf numFmtId="169" fontId="12" fillId="4" borderId="0" xfId="4" applyNumberFormat="1" applyFont="1" applyFill="1" applyBorder="1" applyAlignment="1">
      <alignment horizontal="center" vertical="center"/>
    </xf>
    <xf numFmtId="168" fontId="11" fillId="4" borderId="0" xfId="0" applyNumberFormat="1" applyFont="1" applyFill="1" applyBorder="1"/>
    <xf numFmtId="44" fontId="11" fillId="6" borderId="0" xfId="0" applyNumberFormat="1" applyFont="1" applyFill="1" applyBorder="1"/>
    <xf numFmtId="165" fontId="12" fillId="4" borderId="0" xfId="0" applyNumberFormat="1" applyFont="1" applyFill="1" applyBorder="1" applyAlignment="1">
      <alignment horizontal="right"/>
    </xf>
    <xf numFmtId="165" fontId="12" fillId="6" borderId="0" xfId="1" applyNumberFormat="1" applyFont="1" applyFill="1" applyBorder="1" applyAlignment="1">
      <alignment horizontal="right"/>
    </xf>
    <xf numFmtId="168" fontId="11" fillId="6" borderId="0" xfId="0" applyNumberFormat="1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168" fontId="3" fillId="4" borderId="0" xfId="0" applyNumberFormat="1" applyFont="1" applyFill="1" applyBorder="1"/>
    <xf numFmtId="168" fontId="10" fillId="4" borderId="0" xfId="0" applyNumberFormat="1" applyFont="1" applyFill="1" applyBorder="1"/>
    <xf numFmtId="44" fontId="11" fillId="6" borderId="0" xfId="1" applyFont="1" applyFill="1" applyBorder="1" applyAlignment="1">
      <alignment horizontal="center" vertical="center"/>
    </xf>
    <xf numFmtId="168" fontId="11" fillId="4" borderId="0" xfId="0" applyNumberFormat="1" applyFont="1" applyFill="1" applyBorder="1" applyAlignment="1">
      <alignment horizontal="center" vertical="center"/>
    </xf>
    <xf numFmtId="44" fontId="11" fillId="6" borderId="0" xfId="0" applyNumberFormat="1" applyFont="1" applyFill="1" applyBorder="1" applyAlignment="1">
      <alignment horizontal="center" vertical="center"/>
    </xf>
    <xf numFmtId="168" fontId="11" fillId="6" borderId="0" xfId="0" applyNumberFormat="1" applyFont="1" applyFill="1" applyBorder="1" applyAlignment="1">
      <alignment horizontal="center" vertical="center"/>
    </xf>
    <xf numFmtId="168" fontId="3" fillId="4" borderId="0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4" fontId="11" fillId="4" borderId="0" xfId="0" applyNumberFormat="1" applyFont="1" applyFill="1" applyBorder="1" applyAlignment="1">
      <alignment vertical="center"/>
    </xf>
    <xf numFmtId="44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/>
    <xf numFmtId="1" fontId="12" fillId="6" borderId="0" xfId="0" applyNumberFormat="1" applyFont="1" applyFill="1" applyBorder="1" applyAlignment="1">
      <alignment horizontal="center" vertical="center"/>
    </xf>
    <xf numFmtId="44" fontId="12" fillId="4" borderId="0" xfId="0" applyNumberFormat="1" applyFont="1" applyFill="1" applyBorder="1" applyAlignment="1">
      <alignment vertical="center"/>
    </xf>
    <xf numFmtId="168" fontId="12" fillId="6" borderId="0" xfId="0" applyNumberFormat="1" applyFont="1" applyFill="1" applyBorder="1" applyAlignment="1">
      <alignment vertical="center"/>
    </xf>
    <xf numFmtId="44" fontId="12" fillId="6" borderId="0" xfId="0" applyNumberFormat="1" applyFont="1" applyFill="1" applyBorder="1" applyAlignment="1">
      <alignment vertical="center"/>
    </xf>
    <xf numFmtId="44" fontId="0" fillId="7" borderId="0" xfId="0" applyNumberFormat="1" applyFill="1" applyBorder="1"/>
    <xf numFmtId="168" fontId="10" fillId="6" borderId="0" xfId="0" applyNumberFormat="1" applyFont="1" applyFill="1" applyBorder="1" applyAlignment="1">
      <alignment vertical="center"/>
    </xf>
    <xf numFmtId="169" fontId="12" fillId="4" borderId="0" xfId="4" applyNumberFormat="1" applyFont="1" applyFill="1" applyBorder="1"/>
    <xf numFmtId="0" fontId="0" fillId="8" borderId="4" xfId="0" applyFill="1" applyBorder="1"/>
    <xf numFmtId="44" fontId="0" fillId="8" borderId="6" xfId="0" applyNumberFormat="1" applyFill="1" applyBorder="1"/>
    <xf numFmtId="0" fontId="3" fillId="8" borderId="10" xfId="0" applyFont="1" applyFill="1" applyBorder="1"/>
    <xf numFmtId="44" fontId="0" fillId="8" borderId="11" xfId="0" applyNumberFormat="1" applyFill="1" applyBorder="1"/>
    <xf numFmtId="0" fontId="0" fillId="8" borderId="10" xfId="0" applyFill="1" applyBorder="1"/>
    <xf numFmtId="44" fontId="3" fillId="8" borderId="11" xfId="0" applyNumberFormat="1" applyFont="1" applyFill="1" applyBorder="1"/>
    <xf numFmtId="44" fontId="3" fillId="8" borderId="11" xfId="1" applyFont="1" applyFill="1" applyBorder="1"/>
    <xf numFmtId="0" fontId="0" fillId="8" borderId="7" xfId="0" applyFill="1" applyBorder="1"/>
    <xf numFmtId="44" fontId="2" fillId="8" borderId="9" xfId="0" applyNumberFormat="1" applyFont="1" applyFill="1" applyBorder="1"/>
    <xf numFmtId="0" fontId="3" fillId="8" borderId="12" xfId="0" applyFont="1" applyFill="1" applyBorder="1"/>
    <xf numFmtId="0" fontId="0" fillId="8" borderId="14" xfId="0" applyFill="1" applyBorder="1"/>
    <xf numFmtId="0" fontId="0" fillId="8" borderId="15" xfId="0" applyFill="1" applyBorder="1"/>
    <xf numFmtId="44" fontId="0" fillId="8" borderId="16" xfId="0" applyNumberFormat="1" applyFill="1" applyBorder="1"/>
    <xf numFmtId="0" fontId="0" fillId="8" borderId="17" xfId="0" applyFill="1" applyBorder="1"/>
    <xf numFmtId="44" fontId="0" fillId="8" borderId="19" xfId="0" applyNumberFormat="1" applyFill="1" applyBorder="1"/>
    <xf numFmtId="0" fontId="0" fillId="8" borderId="12" xfId="0" applyFill="1" applyBorder="1"/>
    <xf numFmtId="44" fontId="0" fillId="8" borderId="14" xfId="0" applyNumberFormat="1" applyFill="1" applyBorder="1"/>
    <xf numFmtId="0" fontId="13" fillId="8" borderId="17" xfId="0" applyFont="1" applyFill="1" applyBorder="1"/>
    <xf numFmtId="44" fontId="13" fillId="8" borderId="19" xfId="0" applyNumberFormat="1" applyFont="1" applyFill="1" applyBorder="1"/>
    <xf numFmtId="170" fontId="12" fillId="4" borderId="0" xfId="0" applyNumberFormat="1" applyFont="1" applyFill="1" applyBorder="1" applyAlignment="1">
      <alignment horizontal="right"/>
    </xf>
    <xf numFmtId="170" fontId="12" fillId="6" borderId="0" xfId="1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/>
    <xf numFmtId="0" fontId="0" fillId="0" borderId="26" xfId="0" applyBorder="1"/>
    <xf numFmtId="0" fontId="15" fillId="0" borderId="27" xfId="0" applyFont="1" applyBorder="1"/>
    <xf numFmtId="168" fontId="0" fillId="0" borderId="0" xfId="0" applyNumberFormat="1" applyBorder="1"/>
    <xf numFmtId="168" fontId="0" fillId="0" borderId="16" xfId="0" applyNumberFormat="1" applyBorder="1"/>
    <xf numFmtId="0" fontId="0" fillId="0" borderId="27" xfId="0" applyBorder="1"/>
    <xf numFmtId="0" fontId="8" fillId="0" borderId="28" xfId="0" applyFont="1" applyBorder="1"/>
    <xf numFmtId="168" fontId="8" fillId="0" borderId="25" xfId="0" applyNumberFormat="1" applyFont="1" applyBorder="1"/>
    <xf numFmtId="168" fontId="8" fillId="0" borderId="26" xfId="0" applyNumberFormat="1" applyFont="1" applyBorder="1"/>
    <xf numFmtId="0" fontId="16" fillId="4" borderId="15" xfId="0" applyFont="1" applyFill="1" applyBorder="1"/>
    <xf numFmtId="17" fontId="0" fillId="0" borderId="0" xfId="0" applyNumberFormat="1" applyBorder="1"/>
    <xf numFmtId="0" fontId="0" fillId="0" borderId="12" xfId="0" applyBorder="1"/>
    <xf numFmtId="0" fontId="0" fillId="0" borderId="29" xfId="0" applyBorder="1"/>
    <xf numFmtId="0" fontId="0" fillId="0" borderId="31" xfId="0" applyBorder="1"/>
    <xf numFmtId="1" fontId="0" fillId="0" borderId="30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29" xfId="0" applyFill="1" applyBorder="1"/>
    <xf numFmtId="0" fontId="0" fillId="0" borderId="30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/>
    <xf numFmtId="0" fontId="0" fillId="3" borderId="0" xfId="0" applyFill="1" applyBorder="1"/>
    <xf numFmtId="3" fontId="0" fillId="0" borderId="0" xfId="0" applyNumberFormat="1" applyBorder="1"/>
    <xf numFmtId="171" fontId="0" fillId="0" borderId="16" xfId="0" applyNumberFormat="1" applyBorder="1"/>
    <xf numFmtId="4" fontId="0" fillId="0" borderId="18" xfId="0" applyNumberFormat="1" applyBorder="1"/>
    <xf numFmtId="0" fontId="0" fillId="0" borderId="24" xfId="0" applyBorder="1"/>
    <xf numFmtId="0" fontId="0" fillId="0" borderId="25" xfId="0" applyBorder="1"/>
    <xf numFmtId="2" fontId="3" fillId="0" borderId="5" xfId="0" applyNumberFormat="1" applyFont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34" xfId="0" applyBorder="1"/>
    <xf numFmtId="3" fontId="0" fillId="0" borderId="33" xfId="0" applyNumberFormat="1" applyBorder="1"/>
    <xf numFmtId="3" fontId="0" fillId="0" borderId="27" xfId="0" applyNumberFormat="1" applyBorder="1"/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44" fontId="7" fillId="4" borderId="24" xfId="0" applyNumberFormat="1" applyFont="1" applyFill="1" applyBorder="1" applyAlignment="1">
      <alignment horizontal="center"/>
    </xf>
    <xf numFmtId="44" fontId="7" fillId="4" borderId="25" xfId="0" applyNumberFormat="1" applyFont="1" applyFill="1" applyBorder="1" applyAlignment="1">
      <alignment horizontal="center"/>
    </xf>
    <xf numFmtId="44" fontId="7" fillId="4" borderId="26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4" fontId="7" fillId="4" borderId="24" xfId="0" applyNumberFormat="1" applyFont="1" applyFill="1" applyBorder="1" applyAlignment="1">
      <alignment horizontal="right"/>
    </xf>
    <xf numFmtId="44" fontId="7" fillId="4" borderId="25" xfId="0" applyNumberFormat="1" applyFont="1" applyFill="1" applyBorder="1" applyAlignment="1">
      <alignment horizontal="right"/>
    </xf>
    <xf numFmtId="44" fontId="7" fillId="4" borderId="26" xfId="0" applyNumberFormat="1" applyFont="1" applyFill="1" applyBorder="1" applyAlignment="1">
      <alignment horizontal="right"/>
    </xf>
    <xf numFmtId="2" fontId="6" fillId="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">
    <cellStyle name="Hipervínculo" xfId="3" builtinId="8"/>
    <cellStyle name="Millares" xfId="4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334109</xdr:colOff>
      <xdr:row>30</xdr:row>
      <xdr:rowOff>2857</xdr:rowOff>
    </xdr:from>
    <xdr:to>
      <xdr:col>3</xdr:col>
      <xdr:colOff>24429</xdr:colOff>
      <xdr:row>31</xdr:row>
      <xdr:rowOff>1</xdr:rowOff>
    </xdr:to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id="{FCFA8F2D-568B-4243-B8A5-7763DFA7018E}"/>
            </a:ext>
          </a:extLst>
        </xdr:cNvPr>
        <xdr:cNvSpPr/>
      </xdr:nvSpPr>
      <xdr:spPr>
        <a:xfrm>
          <a:off x="1858109" y="5974299"/>
          <a:ext cx="760051" cy="18764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305018</xdr:colOff>
      <xdr:row>26</xdr:row>
      <xdr:rowOff>892</xdr:rowOff>
    </xdr:from>
    <xdr:to>
      <xdr:col>8</xdr:col>
      <xdr:colOff>335346</xdr:colOff>
      <xdr:row>27</xdr:row>
      <xdr:rowOff>2614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4170950-7215-41E4-B7C0-3C75AA993FD9}"/>
            </a:ext>
          </a:extLst>
        </xdr:cNvPr>
        <xdr:cNvSpPr/>
      </xdr:nvSpPr>
      <xdr:spPr>
        <a:xfrm>
          <a:off x="6048593" y="6382642"/>
          <a:ext cx="792328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286625</xdr:colOff>
      <xdr:row>21</xdr:row>
      <xdr:rowOff>202405</xdr:rowOff>
    </xdr:from>
    <xdr:to>
      <xdr:col>8</xdr:col>
      <xdr:colOff>281235</xdr:colOff>
      <xdr:row>23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1076760-2506-40C8-B2C8-63B0EB5919CA}"/>
            </a:ext>
          </a:extLst>
        </xdr:cNvPr>
        <xdr:cNvSpPr/>
      </xdr:nvSpPr>
      <xdr:spPr>
        <a:xfrm>
          <a:off x="5959953" y="4476749"/>
          <a:ext cx="756610" cy="20240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322099</xdr:colOff>
      <xdr:row>21</xdr:row>
      <xdr:rowOff>202405</xdr:rowOff>
    </xdr:from>
    <xdr:to>
      <xdr:col>3</xdr:col>
      <xdr:colOff>35720</xdr:colOff>
      <xdr:row>22</xdr:row>
      <xdr:rowOff>201384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148E327-4E01-4FFA-B05E-679D15DAB564}"/>
            </a:ext>
          </a:extLst>
        </xdr:cNvPr>
        <xdr:cNvSpPr/>
      </xdr:nvSpPr>
      <xdr:spPr>
        <a:xfrm>
          <a:off x="1846099" y="4476749"/>
          <a:ext cx="779230" cy="20138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334109</xdr:colOff>
      <xdr:row>27</xdr:row>
      <xdr:rowOff>188773</xdr:rowOff>
    </xdr:from>
    <xdr:to>
      <xdr:col>3</xdr:col>
      <xdr:colOff>24429</xdr:colOff>
      <xdr:row>29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9CF40797-B2B7-45EE-9870-73551CA8FD6F}"/>
            </a:ext>
          </a:extLst>
        </xdr:cNvPr>
        <xdr:cNvSpPr/>
      </xdr:nvSpPr>
      <xdr:spPr>
        <a:xfrm>
          <a:off x="1858109" y="5629929"/>
          <a:ext cx="755929" cy="19222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327540</xdr:colOff>
      <xdr:row>25</xdr:row>
      <xdr:rowOff>188779</xdr:rowOff>
    </xdr:from>
    <xdr:to>
      <xdr:col>3</xdr:col>
      <xdr:colOff>17860</xdr:colOff>
      <xdr:row>27</xdr:row>
      <xdr:rowOff>1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AC09FB87-5F4B-4FE2-83F7-3362F518402F}"/>
            </a:ext>
          </a:extLst>
        </xdr:cNvPr>
        <xdr:cNvSpPr/>
      </xdr:nvSpPr>
      <xdr:spPr>
        <a:xfrm>
          <a:off x="1851540" y="6380029"/>
          <a:ext cx="757120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322097</xdr:colOff>
      <xdr:row>23</xdr:row>
      <xdr:rowOff>190499</xdr:rowOff>
    </xdr:from>
    <xdr:to>
      <xdr:col>3</xdr:col>
      <xdr:colOff>47625</xdr:colOff>
      <xdr:row>24</xdr:row>
      <xdr:rowOff>188242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AFF184F-27EB-457A-960C-3C4E985239E9}"/>
            </a:ext>
          </a:extLst>
        </xdr:cNvPr>
        <xdr:cNvSpPr/>
      </xdr:nvSpPr>
      <xdr:spPr>
        <a:xfrm>
          <a:off x="1846097" y="4869655"/>
          <a:ext cx="791137" cy="18824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310890</xdr:colOff>
      <xdr:row>14</xdr:row>
      <xdr:rowOff>3852</xdr:rowOff>
    </xdr:from>
    <xdr:to>
      <xdr:col>5</xdr:col>
      <xdr:colOff>76199</xdr:colOff>
      <xdr:row>15</xdr:row>
      <xdr:rowOff>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12E9980C-5865-4014-9B38-AEFE852FEC51}"/>
            </a:ext>
          </a:extLst>
        </xdr:cNvPr>
        <xdr:cNvSpPr/>
      </xdr:nvSpPr>
      <xdr:spPr>
        <a:xfrm>
          <a:off x="1834890" y="2908977"/>
          <a:ext cx="2356109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310890</xdr:colOff>
      <xdr:row>12</xdr:row>
      <xdr:rowOff>3852</xdr:rowOff>
    </xdr:from>
    <xdr:to>
      <xdr:col>5</xdr:col>
      <xdr:colOff>76199</xdr:colOff>
      <xdr:row>13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78943A98-26E8-4D19-86D6-ABC9EB1BD988}"/>
            </a:ext>
          </a:extLst>
        </xdr:cNvPr>
        <xdr:cNvSpPr/>
      </xdr:nvSpPr>
      <xdr:spPr>
        <a:xfrm>
          <a:off x="1834890" y="2508927"/>
          <a:ext cx="2356109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238486</xdr:colOff>
      <xdr:row>10</xdr:row>
      <xdr:rowOff>106074</xdr:rowOff>
    </xdr:from>
    <xdr:to>
      <xdr:col>10</xdr:col>
      <xdr:colOff>123715</xdr:colOff>
      <xdr:row>17</xdr:row>
      <xdr:rowOff>152400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4B64DF3D-68CF-420A-9A80-ECD8F2F53A3C}"/>
            </a:ext>
          </a:extLst>
        </xdr:cNvPr>
        <xdr:cNvSpPr/>
      </xdr:nvSpPr>
      <xdr:spPr>
        <a:xfrm>
          <a:off x="1762486" y="2220624"/>
          <a:ext cx="6657504" cy="1417926"/>
        </a:xfrm>
        <a:prstGeom prst="roundRect">
          <a:avLst>
            <a:gd name="adj" fmla="val 9173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2</xdr:col>
      <xdr:colOff>124735</xdr:colOff>
      <xdr:row>1</xdr:row>
      <xdr:rowOff>259478</xdr:rowOff>
    </xdr:from>
    <xdr:to>
      <xdr:col>3</xdr:col>
      <xdr:colOff>258926</xdr:colOff>
      <xdr:row>5</xdr:row>
      <xdr:rowOff>179918</xdr:rowOff>
    </xdr:to>
    <xdr:pic>
      <xdr:nvPicPr>
        <xdr:cNvPr id="11" name="Picture 2" descr="Image result for cfe">
          <a:extLst>
            <a:ext uri="{FF2B5EF4-FFF2-40B4-BE49-F238E27FC236}">
              <a16:creationId xmlns:a16="http://schemas.microsoft.com/office/drawing/2014/main" id="{FA346D6A-36E1-4818-AF8B-3A8B4CC3AA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6441" y1="44915" x2="56441" y2="44915"/>
                      <a14:foregroundMark x1="56780" y1="44237" x2="56780" y2="44237"/>
                      <a14:foregroundMark x1="58814" y1="44746" x2="57966" y2="44746"/>
                      <a14:foregroundMark x1="57288" y1="44746" x2="57288" y2="44746"/>
                      <a14:foregroundMark x1="57119" y1="44746" x2="57119" y2="44746"/>
                      <a14:foregroundMark x1="55424" y1="44576" x2="55424" y2="4457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937" t="25587" r="17862" b="32784"/>
        <a:stretch/>
      </xdr:blipFill>
      <xdr:spPr bwMode="auto">
        <a:xfrm>
          <a:off x="1648735" y="463585"/>
          <a:ext cx="1195548" cy="764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756806</xdr:colOff>
      <xdr:row>2</xdr:row>
      <xdr:rowOff>154269</xdr:rowOff>
    </xdr:from>
    <xdr:to>
      <xdr:col>10</xdr:col>
      <xdr:colOff>19050</xdr:colOff>
      <xdr:row>3</xdr:row>
      <xdr:rowOff>142875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9BA1E280-8561-4E3A-9668-778A5A9F5A15}"/>
            </a:ext>
          </a:extLst>
        </xdr:cNvPr>
        <xdr:cNvSpPr/>
      </xdr:nvSpPr>
      <xdr:spPr>
        <a:xfrm>
          <a:off x="5633606" y="630519"/>
          <a:ext cx="2748394" cy="17910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756807</xdr:colOff>
      <xdr:row>4</xdr:row>
      <xdr:rowOff>78441</xdr:rowOff>
    </xdr:from>
    <xdr:to>
      <xdr:col>9</xdr:col>
      <xdr:colOff>503087</xdr:colOff>
      <xdr:row>5</xdr:row>
      <xdr:rowOff>54925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55D7E1FF-45B2-46A4-854A-B91F97AB6FD9}"/>
            </a:ext>
          </a:extLst>
        </xdr:cNvPr>
        <xdr:cNvSpPr/>
      </xdr:nvSpPr>
      <xdr:spPr>
        <a:xfrm>
          <a:off x="5633607" y="935691"/>
          <a:ext cx="2137055" cy="16698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705533</xdr:colOff>
      <xdr:row>5</xdr:row>
      <xdr:rowOff>177678</xdr:rowOff>
    </xdr:from>
    <xdr:to>
      <xdr:col>9</xdr:col>
      <xdr:colOff>123264</xdr:colOff>
      <xdr:row>7</xdr:row>
      <xdr:rowOff>82013</xdr:rowOff>
    </xdr:to>
    <xdr:sp macro="" textlink="">
      <xdr:nvSpPr>
        <xdr:cNvPr id="14" name="CuadroTexto 9">
          <a:extLst>
            <a:ext uri="{FF2B5EF4-FFF2-40B4-BE49-F238E27FC236}">
              <a16:creationId xmlns:a16="http://schemas.microsoft.com/office/drawing/2014/main" id="{ADCB805E-7CB3-4D08-AFBB-DA7937181110}"/>
            </a:ext>
          </a:extLst>
        </xdr:cNvPr>
        <xdr:cNvSpPr txBox="1"/>
      </xdr:nvSpPr>
      <xdr:spPr>
        <a:xfrm>
          <a:off x="5582333" y="1225428"/>
          <a:ext cx="1808506" cy="28533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>
              <a:latin typeface="Eurostile" panose="020B0504020202050204" pitchFamily="34" charset="0"/>
            </a:rPr>
            <a:t>TOTAL A PAGAR:</a:t>
          </a:r>
        </a:p>
      </xdr:txBody>
    </xdr:sp>
    <xdr:clientData/>
  </xdr:twoCellAnchor>
  <xdr:twoCellAnchor>
    <xdr:from>
      <xdr:col>2</xdr:col>
      <xdr:colOff>240279</xdr:colOff>
      <xdr:row>10</xdr:row>
      <xdr:rowOff>66480</xdr:rowOff>
    </xdr:from>
    <xdr:to>
      <xdr:col>10</xdr:col>
      <xdr:colOff>125506</xdr:colOff>
      <xdr:row>11</xdr:row>
      <xdr:rowOff>104775</xdr:rowOff>
    </xdr:to>
    <xdr:sp macro="" textlink="">
      <xdr:nvSpPr>
        <xdr:cNvPr id="18" name="Rectángulo: esquinas superiores redondeadas 17">
          <a:extLst>
            <a:ext uri="{FF2B5EF4-FFF2-40B4-BE49-F238E27FC236}">
              <a16:creationId xmlns:a16="http://schemas.microsoft.com/office/drawing/2014/main" id="{33049836-4153-4E47-AB17-81ADC6F1FFA9}"/>
            </a:ext>
          </a:extLst>
        </xdr:cNvPr>
        <xdr:cNvSpPr/>
      </xdr:nvSpPr>
      <xdr:spPr>
        <a:xfrm>
          <a:off x="1764279" y="2190555"/>
          <a:ext cx="6724177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/>
            <a:t>Energía y demanda</a:t>
          </a:r>
          <a:r>
            <a:rPr lang="es-MX" sz="1200" baseline="0"/>
            <a:t> en el periodo</a:t>
          </a:r>
          <a:endParaRPr lang="es-MX" sz="1200"/>
        </a:p>
      </xdr:txBody>
    </xdr:sp>
    <xdr:clientData/>
  </xdr:twoCellAnchor>
  <xdr:twoCellAnchor>
    <xdr:from>
      <xdr:col>2</xdr:col>
      <xdr:colOff>285750</xdr:colOff>
      <xdr:row>10</xdr:row>
      <xdr:rowOff>47624</xdr:rowOff>
    </xdr:from>
    <xdr:to>
      <xdr:col>3</xdr:col>
      <xdr:colOff>295275</xdr:colOff>
      <xdr:row>11</xdr:row>
      <xdr:rowOff>133349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98A77F65-990D-4E03-90C6-20AE703B7F98}"/>
            </a:ext>
          </a:extLst>
        </xdr:cNvPr>
        <xdr:cNvSpPr txBox="1"/>
      </xdr:nvSpPr>
      <xdr:spPr>
        <a:xfrm>
          <a:off x="1809750" y="2171699"/>
          <a:ext cx="1076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bg1"/>
              </a:solidFill>
            </a:rPr>
            <a:t>Concepto</a:t>
          </a:r>
        </a:p>
      </xdr:txBody>
    </xdr:sp>
    <xdr:clientData/>
  </xdr:twoCellAnchor>
  <xdr:twoCellAnchor>
    <xdr:from>
      <xdr:col>2</xdr:col>
      <xdr:colOff>295275</xdr:colOff>
      <xdr:row>11</xdr:row>
      <xdr:rowOff>152399</xdr:rowOff>
    </xdr:from>
    <xdr:to>
      <xdr:col>2</xdr:col>
      <xdr:colOff>795130</xdr:colOff>
      <xdr:row>13</xdr:row>
      <xdr:rowOff>47624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6AE94E4B-9DBC-442F-8EA0-E909F7DE5995}"/>
            </a:ext>
          </a:extLst>
        </xdr:cNvPr>
        <xdr:cNvSpPr txBox="1"/>
      </xdr:nvSpPr>
      <xdr:spPr>
        <a:xfrm>
          <a:off x="1819275" y="2430116"/>
          <a:ext cx="499855" cy="284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kWh</a:t>
          </a:r>
        </a:p>
      </xdr:txBody>
    </xdr:sp>
    <xdr:clientData/>
  </xdr:twoCellAnchor>
  <xdr:twoCellAnchor>
    <xdr:from>
      <xdr:col>2</xdr:col>
      <xdr:colOff>285750</xdr:colOff>
      <xdr:row>12</xdr:row>
      <xdr:rowOff>161924</xdr:rowOff>
    </xdr:from>
    <xdr:to>
      <xdr:col>2</xdr:col>
      <xdr:colOff>778565</xdr:colOff>
      <xdr:row>14</xdr:row>
      <xdr:rowOff>57149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968545DB-B979-4A9B-8B8E-DCD7BA4F790E}"/>
            </a:ext>
          </a:extLst>
        </xdr:cNvPr>
        <xdr:cNvSpPr txBox="1"/>
      </xdr:nvSpPr>
      <xdr:spPr>
        <a:xfrm>
          <a:off x="1809750" y="2630141"/>
          <a:ext cx="492815" cy="292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kW</a:t>
          </a:r>
        </a:p>
      </xdr:txBody>
    </xdr:sp>
    <xdr:clientData/>
  </xdr:twoCellAnchor>
  <xdr:twoCellAnchor>
    <xdr:from>
      <xdr:col>2</xdr:col>
      <xdr:colOff>285750</xdr:colOff>
      <xdr:row>13</xdr:row>
      <xdr:rowOff>161924</xdr:rowOff>
    </xdr:from>
    <xdr:to>
      <xdr:col>2</xdr:col>
      <xdr:colOff>919370</xdr:colOff>
      <xdr:row>15</xdr:row>
      <xdr:rowOff>57149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A2EE5407-34CA-4BD8-8D3D-4F142D720589}"/>
            </a:ext>
          </a:extLst>
        </xdr:cNvPr>
        <xdr:cNvSpPr txBox="1"/>
      </xdr:nvSpPr>
      <xdr:spPr>
        <a:xfrm>
          <a:off x="1809750" y="2828924"/>
          <a:ext cx="633620" cy="29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kVArh</a:t>
          </a:r>
        </a:p>
      </xdr:txBody>
    </xdr:sp>
    <xdr:clientData/>
  </xdr:twoCellAnchor>
  <xdr:twoCellAnchor>
    <xdr:from>
      <xdr:col>6</xdr:col>
      <xdr:colOff>749041</xdr:colOff>
      <xdr:row>12</xdr:row>
      <xdr:rowOff>3852</xdr:rowOff>
    </xdr:from>
    <xdr:to>
      <xdr:col>10</xdr:col>
      <xdr:colOff>33130</xdr:colOff>
      <xdr:row>13</xdr:row>
      <xdr:rowOff>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A243A744-41A1-4246-9066-CAE6F31915E0}"/>
            </a:ext>
          </a:extLst>
        </xdr:cNvPr>
        <xdr:cNvSpPr/>
      </xdr:nvSpPr>
      <xdr:spPr>
        <a:xfrm>
          <a:off x="5627498" y="2472069"/>
          <a:ext cx="2704806" cy="19493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758565</xdr:colOff>
      <xdr:row>14</xdr:row>
      <xdr:rowOff>3852</xdr:rowOff>
    </xdr:from>
    <xdr:to>
      <xdr:col>10</xdr:col>
      <xdr:colOff>32696</xdr:colOff>
      <xdr:row>15</xdr:row>
      <xdr:rowOff>0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B6FD88BE-8BC1-4531-84D9-5E1022BAE85D}"/>
            </a:ext>
          </a:extLst>
        </xdr:cNvPr>
        <xdr:cNvSpPr/>
      </xdr:nvSpPr>
      <xdr:spPr>
        <a:xfrm>
          <a:off x="5637022" y="2869635"/>
          <a:ext cx="2694848" cy="19493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348990</xdr:colOff>
      <xdr:row>16</xdr:row>
      <xdr:rowOff>182216</xdr:rowOff>
    </xdr:from>
    <xdr:to>
      <xdr:col>9</xdr:col>
      <xdr:colOff>1085021</xdr:colOff>
      <xdr:row>17</xdr:row>
      <xdr:rowOff>72061</xdr:rowOff>
    </xdr:to>
    <xdr:sp macro="" textlink="">
      <xdr:nvSpPr>
        <xdr:cNvPr id="26" name="Rectángulo: esquinas redondeadas 25">
          <a:extLst>
            <a:ext uri="{FF2B5EF4-FFF2-40B4-BE49-F238E27FC236}">
              <a16:creationId xmlns:a16="http://schemas.microsoft.com/office/drawing/2014/main" id="{62764049-F3F3-451F-8132-5D9C0137E54E}"/>
            </a:ext>
          </a:extLst>
        </xdr:cNvPr>
        <xdr:cNvSpPr/>
      </xdr:nvSpPr>
      <xdr:spPr>
        <a:xfrm>
          <a:off x="1872990" y="3445564"/>
          <a:ext cx="6417901" cy="80345"/>
        </a:xfrm>
        <a:prstGeom prst="roundRect">
          <a:avLst/>
        </a:prstGeom>
        <a:gradFill flip="none" rotWithShape="1">
          <a:gsLst>
            <a:gs pos="0">
              <a:srgbClr val="420000"/>
            </a:gs>
            <a:gs pos="49581">
              <a:srgbClr val="FFC000"/>
            </a:gs>
            <a:gs pos="25000">
              <a:srgbClr val="C00000">
                <a:lumMod val="90000"/>
              </a:srgbClr>
            </a:gs>
            <a:gs pos="96460">
              <a:schemeClr val="accent6">
                <a:lumMod val="60000"/>
                <a:lumOff val="40000"/>
              </a:schemeClr>
            </a:gs>
            <a:gs pos="72000">
              <a:schemeClr val="accent6">
                <a:lumMod val="75000"/>
              </a:schemeClr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380362</xdr:colOff>
      <xdr:row>16</xdr:row>
      <xdr:rowOff>28265</xdr:rowOff>
    </xdr:from>
    <xdr:to>
      <xdr:col>7</xdr:col>
      <xdr:colOff>485775</xdr:colOff>
      <xdr:row>16</xdr:row>
      <xdr:rowOff>157786</xdr:rowOff>
    </xdr:to>
    <xdr:sp macro="" textlink="">
      <xdr:nvSpPr>
        <xdr:cNvPr id="27" name="Flecha: hacia abajo 26">
          <a:extLst>
            <a:ext uri="{FF2B5EF4-FFF2-40B4-BE49-F238E27FC236}">
              <a16:creationId xmlns:a16="http://schemas.microsoft.com/office/drawing/2014/main" id="{F19012F2-713A-4B13-B0A4-C6E586F2D366}"/>
            </a:ext>
          </a:extLst>
        </xdr:cNvPr>
        <xdr:cNvSpPr/>
      </xdr:nvSpPr>
      <xdr:spPr>
        <a:xfrm>
          <a:off x="6062232" y="3291613"/>
          <a:ext cx="105413" cy="129521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296956</xdr:colOff>
      <xdr:row>18</xdr:row>
      <xdr:rowOff>44262</xdr:rowOff>
    </xdr:from>
    <xdr:to>
      <xdr:col>3</xdr:col>
      <xdr:colOff>306481</xdr:colOff>
      <xdr:row>19</xdr:row>
      <xdr:rowOff>129987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41AE6375-2123-4F68-ACF6-1D1CDB7E710A}"/>
            </a:ext>
          </a:extLst>
        </xdr:cNvPr>
        <xdr:cNvSpPr txBox="1"/>
      </xdr:nvSpPr>
      <xdr:spPr>
        <a:xfrm>
          <a:off x="1820956" y="3730437"/>
          <a:ext cx="1076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bg1"/>
              </a:solidFill>
            </a:rPr>
            <a:t>PERIODO</a:t>
          </a:r>
        </a:p>
      </xdr:txBody>
    </xdr:sp>
    <xdr:clientData/>
  </xdr:twoCellAnchor>
  <xdr:twoCellAnchor>
    <xdr:from>
      <xdr:col>2</xdr:col>
      <xdr:colOff>322097</xdr:colOff>
      <xdr:row>19</xdr:row>
      <xdr:rowOff>190498</xdr:rowOff>
    </xdr:from>
    <xdr:to>
      <xdr:col>3</xdr:col>
      <xdr:colOff>11907</xdr:colOff>
      <xdr:row>20</xdr:row>
      <xdr:rowOff>202405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C399E2B5-4CF8-4F49-978B-583E9441741C}"/>
            </a:ext>
          </a:extLst>
        </xdr:cNvPr>
        <xdr:cNvSpPr/>
      </xdr:nvSpPr>
      <xdr:spPr>
        <a:xfrm>
          <a:off x="1846097" y="4071936"/>
          <a:ext cx="755419" cy="20240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249692</xdr:colOff>
      <xdr:row>18</xdr:row>
      <xdr:rowOff>41067</xdr:rowOff>
    </xdr:from>
    <xdr:to>
      <xdr:col>7</xdr:col>
      <xdr:colOff>132522</xdr:colOff>
      <xdr:row>31</xdr:row>
      <xdr:rowOff>73270</xdr:rowOff>
    </xdr:to>
    <xdr:sp macro="" textlink="">
      <xdr:nvSpPr>
        <xdr:cNvPr id="39" name="Rectángulo: esquinas redondeadas 38">
          <a:extLst>
            <a:ext uri="{FF2B5EF4-FFF2-40B4-BE49-F238E27FC236}">
              <a16:creationId xmlns:a16="http://schemas.microsoft.com/office/drawing/2014/main" id="{91312CF7-02D0-4723-A794-FA0502AC227C}"/>
            </a:ext>
          </a:extLst>
        </xdr:cNvPr>
        <xdr:cNvSpPr/>
      </xdr:nvSpPr>
      <xdr:spPr>
        <a:xfrm>
          <a:off x="1773692" y="3704529"/>
          <a:ext cx="4037195" cy="2530683"/>
        </a:xfrm>
        <a:prstGeom prst="roundRect">
          <a:avLst>
            <a:gd name="adj" fmla="val 2589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251485</xdr:colOff>
      <xdr:row>18</xdr:row>
      <xdr:rowOff>26321</xdr:rowOff>
    </xdr:from>
    <xdr:to>
      <xdr:col>7</xdr:col>
      <xdr:colOff>134314</xdr:colOff>
      <xdr:row>19</xdr:row>
      <xdr:rowOff>64616</xdr:rowOff>
    </xdr:to>
    <xdr:sp macro="" textlink="">
      <xdr:nvSpPr>
        <xdr:cNvPr id="40" name="Rectángulo: esquinas superiores redondeadas 39">
          <a:extLst>
            <a:ext uri="{FF2B5EF4-FFF2-40B4-BE49-F238E27FC236}">
              <a16:creationId xmlns:a16="http://schemas.microsoft.com/office/drawing/2014/main" id="{2AFB6515-EABD-4246-AEBD-E49189511935}"/>
            </a:ext>
          </a:extLst>
        </xdr:cNvPr>
        <xdr:cNvSpPr/>
      </xdr:nvSpPr>
      <xdr:spPr>
        <a:xfrm>
          <a:off x="1775485" y="3685235"/>
          <a:ext cx="4034415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aseline="0"/>
            <a:t>Costo de la Energía en el Mercado</a:t>
          </a:r>
        </a:p>
      </xdr:txBody>
    </xdr:sp>
    <xdr:clientData/>
  </xdr:twoCellAnchor>
  <xdr:twoCellAnchor>
    <xdr:from>
      <xdr:col>2</xdr:col>
      <xdr:colOff>289915</xdr:colOff>
      <xdr:row>19</xdr:row>
      <xdr:rowOff>167891</xdr:rowOff>
    </xdr:from>
    <xdr:to>
      <xdr:col>2</xdr:col>
      <xdr:colOff>982266</xdr:colOff>
      <xdr:row>21</xdr:row>
      <xdr:rowOff>5947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F697C676-EC28-40B9-BF5E-54001D16233B}"/>
            </a:ext>
          </a:extLst>
        </xdr:cNvPr>
        <xdr:cNvSpPr txBox="1"/>
      </xdr:nvSpPr>
      <xdr:spPr>
        <a:xfrm>
          <a:off x="1813915" y="4049329"/>
          <a:ext cx="692351" cy="2309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Suministro</a:t>
          </a:r>
        </a:p>
      </xdr:txBody>
    </xdr:sp>
    <xdr:clientData/>
  </xdr:twoCellAnchor>
  <xdr:twoCellAnchor>
    <xdr:from>
      <xdr:col>2</xdr:col>
      <xdr:colOff>284660</xdr:colOff>
      <xdr:row>20</xdr:row>
      <xdr:rowOff>169822</xdr:rowOff>
    </xdr:from>
    <xdr:to>
      <xdr:col>3</xdr:col>
      <xdr:colOff>101203</xdr:colOff>
      <xdr:row>22</xdr:row>
      <xdr:rowOff>6564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6B3935F9-52BF-439C-8DD5-876B26FA354C}"/>
            </a:ext>
          </a:extLst>
        </xdr:cNvPr>
        <xdr:cNvSpPr txBox="1"/>
      </xdr:nvSpPr>
      <xdr:spPr>
        <a:xfrm>
          <a:off x="1808660" y="4209736"/>
          <a:ext cx="880715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Distribución</a:t>
          </a:r>
        </a:p>
      </xdr:txBody>
    </xdr:sp>
    <xdr:clientData/>
  </xdr:twoCellAnchor>
  <xdr:twoCellAnchor>
    <xdr:from>
      <xdr:col>2</xdr:col>
      <xdr:colOff>285975</xdr:colOff>
      <xdr:row>21</xdr:row>
      <xdr:rowOff>161189</xdr:rowOff>
    </xdr:from>
    <xdr:to>
      <xdr:col>2</xdr:col>
      <xdr:colOff>1044467</xdr:colOff>
      <xdr:row>22</xdr:row>
      <xdr:rowOff>195000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5D6F360C-45AB-44F6-B0EC-32C05F462FBB}"/>
            </a:ext>
          </a:extLst>
        </xdr:cNvPr>
        <xdr:cNvSpPr txBox="1"/>
      </xdr:nvSpPr>
      <xdr:spPr>
        <a:xfrm>
          <a:off x="1809975" y="4428389"/>
          <a:ext cx="758492" cy="235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Transmisión</a:t>
          </a:r>
        </a:p>
      </xdr:txBody>
    </xdr:sp>
    <xdr:clientData/>
  </xdr:twoCellAnchor>
  <xdr:twoCellAnchor>
    <xdr:from>
      <xdr:col>2</xdr:col>
      <xdr:colOff>280719</xdr:colOff>
      <xdr:row>22</xdr:row>
      <xdr:rowOff>155934</xdr:rowOff>
    </xdr:from>
    <xdr:to>
      <xdr:col>3</xdr:col>
      <xdr:colOff>109904</xdr:colOff>
      <xdr:row>23</xdr:row>
      <xdr:rowOff>189745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5C39FEA6-D634-4800-94EE-0FEB8860C919}"/>
            </a:ext>
          </a:extLst>
        </xdr:cNvPr>
        <xdr:cNvSpPr txBox="1"/>
      </xdr:nvSpPr>
      <xdr:spPr>
        <a:xfrm>
          <a:off x="1804719" y="4596049"/>
          <a:ext cx="898916" cy="231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CENACE - jul</a:t>
          </a:r>
        </a:p>
      </xdr:txBody>
    </xdr:sp>
    <xdr:clientData/>
  </xdr:twoCellAnchor>
  <xdr:twoCellAnchor>
    <xdr:from>
      <xdr:col>2</xdr:col>
      <xdr:colOff>282033</xdr:colOff>
      <xdr:row>23</xdr:row>
      <xdr:rowOff>157142</xdr:rowOff>
    </xdr:from>
    <xdr:to>
      <xdr:col>3</xdr:col>
      <xdr:colOff>102577</xdr:colOff>
      <xdr:row>25</xdr:row>
      <xdr:rowOff>7022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2BB096B1-784C-45BD-9507-2A8E6C724A18}"/>
            </a:ext>
          </a:extLst>
        </xdr:cNvPr>
        <xdr:cNvSpPr txBox="1"/>
      </xdr:nvSpPr>
      <xdr:spPr>
        <a:xfrm>
          <a:off x="1806033" y="4795084"/>
          <a:ext cx="890275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CENACE - ago</a:t>
          </a:r>
        </a:p>
      </xdr:txBody>
    </xdr:sp>
    <xdr:clientData/>
  </xdr:twoCellAnchor>
  <xdr:twoCellAnchor>
    <xdr:from>
      <xdr:col>2</xdr:col>
      <xdr:colOff>283346</xdr:colOff>
      <xdr:row>24</xdr:row>
      <xdr:rowOff>151271</xdr:rowOff>
    </xdr:from>
    <xdr:to>
      <xdr:col>3</xdr:col>
      <xdr:colOff>7326</xdr:colOff>
      <xdr:row>26</xdr:row>
      <xdr:rowOff>1151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35D55AC8-7790-4DDD-B644-DA71D0557E8B}"/>
            </a:ext>
          </a:extLst>
        </xdr:cNvPr>
        <xdr:cNvSpPr txBox="1"/>
      </xdr:nvSpPr>
      <xdr:spPr>
        <a:xfrm>
          <a:off x="1807346" y="4979713"/>
          <a:ext cx="793711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Energía -</a:t>
          </a:r>
          <a:r>
            <a:rPr lang="es-MX" sz="900" baseline="0">
              <a:solidFill>
                <a:schemeClr val="tx1"/>
              </a:solidFill>
            </a:rPr>
            <a:t> jul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284848</xdr:colOff>
      <xdr:row>25</xdr:row>
      <xdr:rowOff>161083</xdr:rowOff>
    </xdr:from>
    <xdr:to>
      <xdr:col>3</xdr:col>
      <xdr:colOff>130968</xdr:colOff>
      <xdr:row>26</xdr:row>
      <xdr:rowOff>173873</xdr:rowOff>
    </xdr:to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A5777267-7567-4D2E-A4A5-AC8E4603315E}"/>
            </a:ext>
          </a:extLst>
        </xdr:cNvPr>
        <xdr:cNvSpPr txBox="1"/>
      </xdr:nvSpPr>
      <xdr:spPr>
        <a:xfrm>
          <a:off x="1808848" y="5173204"/>
          <a:ext cx="910292" cy="203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Energía</a:t>
          </a:r>
          <a:r>
            <a:rPr lang="es-MX" sz="900" baseline="0">
              <a:solidFill>
                <a:schemeClr val="tx1"/>
              </a:solidFill>
            </a:rPr>
            <a:t> - ago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273962</xdr:colOff>
      <xdr:row>26</xdr:row>
      <xdr:rowOff>174837</xdr:rowOff>
    </xdr:from>
    <xdr:to>
      <xdr:col>3</xdr:col>
      <xdr:colOff>197827</xdr:colOff>
      <xdr:row>28</xdr:row>
      <xdr:rowOff>37855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6F70A31B-134E-41BF-B2C9-7D571841416A}"/>
            </a:ext>
          </a:extLst>
        </xdr:cNvPr>
        <xdr:cNvSpPr txBox="1"/>
      </xdr:nvSpPr>
      <xdr:spPr>
        <a:xfrm>
          <a:off x="1797962" y="5384279"/>
          <a:ext cx="993596" cy="244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Capacidad - jul</a:t>
          </a:r>
        </a:p>
      </xdr:txBody>
    </xdr:sp>
    <xdr:clientData/>
  </xdr:twoCellAnchor>
  <xdr:twoCellAnchor>
    <xdr:from>
      <xdr:col>2</xdr:col>
      <xdr:colOff>280717</xdr:colOff>
      <xdr:row>27</xdr:row>
      <xdr:rowOff>156444</xdr:rowOff>
    </xdr:from>
    <xdr:to>
      <xdr:col>3</xdr:col>
      <xdr:colOff>241787</xdr:colOff>
      <xdr:row>29</xdr:row>
      <xdr:rowOff>6324</xdr:rowOff>
    </xdr:to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B83E493B-88AA-4E32-9F2F-27219C540293}"/>
            </a:ext>
          </a:extLst>
        </xdr:cNvPr>
        <xdr:cNvSpPr txBox="1"/>
      </xdr:nvSpPr>
      <xdr:spPr>
        <a:xfrm>
          <a:off x="1804717" y="5556386"/>
          <a:ext cx="1030801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Capacidad</a:t>
          </a:r>
          <a:r>
            <a:rPr lang="es-MX" sz="900" baseline="0">
              <a:solidFill>
                <a:schemeClr val="tx1"/>
              </a:solidFill>
            </a:rPr>
            <a:t> - ago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135264</xdr:colOff>
      <xdr:row>19</xdr:row>
      <xdr:rowOff>66774</xdr:rowOff>
    </xdr:from>
    <xdr:to>
      <xdr:col>4</xdr:col>
      <xdr:colOff>341160</xdr:colOff>
      <xdr:row>20</xdr:row>
      <xdr:rowOff>46862</xdr:rowOff>
    </xdr:to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97DD5D75-A2FE-4413-816E-0A9C3E6E03AA}"/>
            </a:ext>
          </a:extLst>
        </xdr:cNvPr>
        <xdr:cNvSpPr txBox="1"/>
      </xdr:nvSpPr>
      <xdr:spPr>
        <a:xfrm>
          <a:off x="2728995" y="3920736"/>
          <a:ext cx="967896" cy="17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900" baseline="0">
              <a:solidFill>
                <a:schemeClr val="tx1"/>
              </a:solidFill>
            </a:rPr>
            <a:t>$/mes julio</a:t>
          </a:r>
        </a:p>
      </xdr:txBody>
    </xdr:sp>
    <xdr:clientData/>
  </xdr:twoCellAnchor>
  <xdr:twoCellAnchor>
    <xdr:from>
      <xdr:col>4</xdr:col>
      <xdr:colOff>168519</xdr:colOff>
      <xdr:row>19</xdr:row>
      <xdr:rowOff>13197</xdr:rowOff>
    </xdr:from>
    <xdr:to>
      <xdr:col>4</xdr:col>
      <xdr:colOff>750304</xdr:colOff>
      <xdr:row>19</xdr:row>
      <xdr:rowOff>183173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23616711-F0A3-47BF-8C0D-FF56AB347A8C}"/>
            </a:ext>
          </a:extLst>
        </xdr:cNvPr>
        <xdr:cNvSpPr txBox="1"/>
      </xdr:nvSpPr>
      <xdr:spPr>
        <a:xfrm>
          <a:off x="3524250" y="3867159"/>
          <a:ext cx="581785" cy="169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solidFill>
                <a:schemeClr val="tx1"/>
              </a:solidFill>
            </a:rPr>
            <a:t>kWh</a:t>
          </a:r>
          <a:endParaRPr lang="es-MX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44476</xdr:colOff>
      <xdr:row>19</xdr:row>
      <xdr:rowOff>13196</xdr:rowOff>
    </xdr:from>
    <xdr:to>
      <xdr:col>5</xdr:col>
      <xdr:colOff>728833</xdr:colOff>
      <xdr:row>19</xdr:row>
      <xdr:rowOff>183784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528B262-1114-4309-94B8-C025B079D257}"/>
            </a:ext>
          </a:extLst>
        </xdr:cNvPr>
        <xdr:cNvSpPr txBox="1"/>
      </xdr:nvSpPr>
      <xdr:spPr>
        <a:xfrm>
          <a:off x="4162207" y="3867158"/>
          <a:ext cx="684357" cy="17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solidFill>
                <a:schemeClr val="tx1"/>
              </a:solidFill>
            </a:rPr>
            <a:t>kW</a:t>
          </a:r>
          <a:endParaRPr lang="es-MX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282092</xdr:colOff>
      <xdr:row>29</xdr:row>
      <xdr:rowOff>166493</xdr:rowOff>
    </xdr:from>
    <xdr:to>
      <xdr:col>2</xdr:col>
      <xdr:colOff>805046</xdr:colOff>
      <xdr:row>31</xdr:row>
      <xdr:rowOff>16373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BBF61F13-F7FC-45A1-87DE-9144EDBA97E3}"/>
            </a:ext>
          </a:extLst>
        </xdr:cNvPr>
        <xdr:cNvSpPr txBox="1"/>
      </xdr:nvSpPr>
      <xdr:spPr>
        <a:xfrm>
          <a:off x="1806092" y="5947435"/>
          <a:ext cx="52295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tx1"/>
              </a:solidFill>
            </a:rPr>
            <a:t>TOTAL</a:t>
          </a:r>
        </a:p>
      </xdr:txBody>
    </xdr:sp>
    <xdr:clientData/>
  </xdr:twoCellAnchor>
  <xdr:twoCellAnchor>
    <xdr:from>
      <xdr:col>7</xdr:col>
      <xdr:colOff>306005</xdr:colOff>
      <xdr:row>28</xdr:row>
      <xdr:rowOff>0</xdr:rowOff>
    </xdr:from>
    <xdr:to>
      <xdr:col>8</xdr:col>
      <xdr:colOff>301125</xdr:colOff>
      <xdr:row>29</xdr:row>
      <xdr:rowOff>0</xdr:rowOff>
    </xdr:to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id="{246A2CC9-23DD-45A0-848A-8DC4F7495986}"/>
            </a:ext>
          </a:extLst>
        </xdr:cNvPr>
        <xdr:cNvSpPr/>
      </xdr:nvSpPr>
      <xdr:spPr>
        <a:xfrm>
          <a:off x="5979333" y="5631656"/>
          <a:ext cx="757120" cy="190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283997</xdr:colOff>
      <xdr:row>24</xdr:row>
      <xdr:rowOff>0</xdr:rowOff>
    </xdr:from>
    <xdr:to>
      <xdr:col>8</xdr:col>
      <xdr:colOff>314325</xdr:colOff>
      <xdr:row>25</xdr:row>
      <xdr:rowOff>0</xdr:rowOff>
    </xdr:to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id="{794E8C98-E8D3-484C-A14B-A8B1B664B9ED}"/>
            </a:ext>
          </a:extLst>
        </xdr:cNvPr>
        <xdr:cNvSpPr/>
      </xdr:nvSpPr>
      <xdr:spPr>
        <a:xfrm>
          <a:off x="5957325" y="4869656"/>
          <a:ext cx="792328" cy="1905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283997</xdr:colOff>
      <xdr:row>19</xdr:row>
      <xdr:rowOff>190499</xdr:rowOff>
    </xdr:from>
    <xdr:to>
      <xdr:col>8</xdr:col>
      <xdr:colOff>278607</xdr:colOff>
      <xdr:row>21</xdr:row>
      <xdr:rowOff>1293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88C437B1-DD18-4090-B3F2-EDA24E94E90A}"/>
            </a:ext>
          </a:extLst>
        </xdr:cNvPr>
        <xdr:cNvSpPr/>
      </xdr:nvSpPr>
      <xdr:spPr>
        <a:xfrm>
          <a:off x="5957325" y="4071937"/>
          <a:ext cx="756610" cy="2037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211592</xdr:colOff>
      <xdr:row>18</xdr:row>
      <xdr:rowOff>48934</xdr:rowOff>
    </xdr:from>
    <xdr:to>
      <xdr:col>10</xdr:col>
      <xdr:colOff>104775</xdr:colOff>
      <xdr:row>30</xdr:row>
      <xdr:rowOff>24039</xdr:rowOff>
    </xdr:to>
    <xdr:sp macro="" textlink="">
      <xdr:nvSpPr>
        <xdr:cNvPr id="57" name="Rectángulo: esquinas redondeadas 56">
          <a:extLst>
            <a:ext uri="{FF2B5EF4-FFF2-40B4-BE49-F238E27FC236}">
              <a16:creationId xmlns:a16="http://schemas.microsoft.com/office/drawing/2014/main" id="{7BE90D0F-B69C-4EB6-962D-D478B9F15267}"/>
            </a:ext>
          </a:extLst>
        </xdr:cNvPr>
        <xdr:cNvSpPr/>
      </xdr:nvSpPr>
      <xdr:spPr>
        <a:xfrm>
          <a:off x="5884920" y="3739872"/>
          <a:ext cx="2512558" cy="2296823"/>
        </a:xfrm>
        <a:prstGeom prst="roundRect">
          <a:avLst>
            <a:gd name="adj" fmla="val 2589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213385</xdr:colOff>
      <xdr:row>18</xdr:row>
      <xdr:rowOff>34189</xdr:rowOff>
    </xdr:from>
    <xdr:to>
      <xdr:col>10</xdr:col>
      <xdr:colOff>106567</xdr:colOff>
      <xdr:row>19</xdr:row>
      <xdr:rowOff>72484</xdr:rowOff>
    </xdr:to>
    <xdr:sp macro="" textlink="">
      <xdr:nvSpPr>
        <xdr:cNvPr id="58" name="Rectángulo: esquinas superiores redondeadas 57">
          <a:extLst>
            <a:ext uri="{FF2B5EF4-FFF2-40B4-BE49-F238E27FC236}">
              <a16:creationId xmlns:a16="http://schemas.microsoft.com/office/drawing/2014/main" id="{74D7A28E-0A71-481D-A8EC-680BD66F5475}"/>
            </a:ext>
          </a:extLst>
        </xdr:cNvPr>
        <xdr:cNvSpPr/>
      </xdr:nvSpPr>
      <xdr:spPr>
        <a:xfrm>
          <a:off x="5888971" y="3693103"/>
          <a:ext cx="2514199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aseline="0"/>
            <a:t>Desglose del importe a pagar</a:t>
          </a:r>
        </a:p>
      </xdr:txBody>
    </xdr:sp>
    <xdr:clientData/>
  </xdr:twoCellAnchor>
  <xdr:twoCellAnchor>
    <xdr:from>
      <xdr:col>7</xdr:col>
      <xdr:colOff>251815</xdr:colOff>
      <xdr:row>19</xdr:row>
      <xdr:rowOff>175759</xdr:rowOff>
    </xdr:from>
    <xdr:to>
      <xdr:col>8</xdr:col>
      <xdr:colOff>184547</xdr:colOff>
      <xdr:row>21</xdr:row>
      <xdr:rowOff>13815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5F72A02D-A107-4AC8-B6BA-273BE18A1F1A}"/>
            </a:ext>
          </a:extLst>
        </xdr:cNvPr>
        <xdr:cNvSpPr txBox="1"/>
      </xdr:nvSpPr>
      <xdr:spPr>
        <a:xfrm>
          <a:off x="5925143" y="4057197"/>
          <a:ext cx="694732" cy="2309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Suministro</a:t>
          </a:r>
        </a:p>
      </xdr:txBody>
    </xdr:sp>
    <xdr:clientData/>
  </xdr:twoCellAnchor>
  <xdr:twoCellAnchor>
    <xdr:from>
      <xdr:col>7</xdr:col>
      <xdr:colOff>246561</xdr:colOff>
      <xdr:row>20</xdr:row>
      <xdr:rowOff>177690</xdr:rowOff>
    </xdr:from>
    <xdr:to>
      <xdr:col>8</xdr:col>
      <xdr:colOff>105105</xdr:colOff>
      <xdr:row>22</xdr:row>
      <xdr:rowOff>14432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8720E661-15C1-4BE5-91F3-70A45AF3A49C}"/>
            </a:ext>
          </a:extLst>
        </xdr:cNvPr>
        <xdr:cNvSpPr txBox="1"/>
      </xdr:nvSpPr>
      <xdr:spPr>
        <a:xfrm>
          <a:off x="5922147" y="4217604"/>
          <a:ext cx="62054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ENERGÍA</a:t>
          </a:r>
        </a:p>
      </xdr:txBody>
    </xdr:sp>
    <xdr:clientData/>
  </xdr:twoCellAnchor>
  <xdr:twoCellAnchor>
    <xdr:from>
      <xdr:col>7</xdr:col>
      <xdr:colOff>247874</xdr:colOff>
      <xdr:row>21</xdr:row>
      <xdr:rowOff>169057</xdr:rowOff>
    </xdr:from>
    <xdr:to>
      <xdr:col>8</xdr:col>
      <xdr:colOff>59121</xdr:colOff>
      <xdr:row>23</xdr:row>
      <xdr:rowOff>5799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4253A482-DF87-472B-90E0-52DA7DAEA81C}"/>
            </a:ext>
          </a:extLst>
        </xdr:cNvPr>
        <xdr:cNvSpPr txBox="1"/>
      </xdr:nvSpPr>
      <xdr:spPr>
        <a:xfrm>
          <a:off x="5923460" y="4406040"/>
          <a:ext cx="57324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2%</a:t>
          </a:r>
          <a:r>
            <a:rPr lang="es-MX" sz="900" baseline="0">
              <a:solidFill>
                <a:schemeClr val="tx1"/>
              </a:solidFill>
            </a:rPr>
            <a:t> b.t.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242618</xdr:colOff>
      <xdr:row>22</xdr:row>
      <xdr:rowOff>163802</xdr:rowOff>
    </xdr:from>
    <xdr:to>
      <xdr:col>8</xdr:col>
      <xdr:colOff>426983</xdr:colOff>
      <xdr:row>24</xdr:row>
      <xdr:rowOff>7113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F972201C-29D5-46A1-AEAE-86B3835CE090}"/>
            </a:ext>
          </a:extLst>
        </xdr:cNvPr>
        <xdr:cNvSpPr txBox="1"/>
      </xdr:nvSpPr>
      <xdr:spPr>
        <a:xfrm>
          <a:off x="5918204" y="4597854"/>
          <a:ext cx="946365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FACT. NORNAL</a:t>
          </a:r>
        </a:p>
      </xdr:txBody>
    </xdr:sp>
    <xdr:clientData/>
  </xdr:twoCellAnchor>
  <xdr:twoCellAnchor>
    <xdr:from>
      <xdr:col>7</xdr:col>
      <xdr:colOff>243933</xdr:colOff>
      <xdr:row>23</xdr:row>
      <xdr:rowOff>165010</xdr:rowOff>
    </xdr:from>
    <xdr:to>
      <xdr:col>8</xdr:col>
      <xdr:colOff>0</xdr:colOff>
      <xdr:row>25</xdr:row>
      <xdr:rowOff>14890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6FA02B4A-B6AC-4360-A930-5EECEE983D14}"/>
            </a:ext>
          </a:extLst>
        </xdr:cNvPr>
        <xdr:cNvSpPr txBox="1"/>
      </xdr:nvSpPr>
      <xdr:spPr>
        <a:xfrm>
          <a:off x="5919519" y="4796131"/>
          <a:ext cx="51806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F.P.</a:t>
          </a:r>
        </a:p>
      </xdr:txBody>
    </xdr:sp>
    <xdr:clientData/>
  </xdr:twoCellAnchor>
  <xdr:twoCellAnchor>
    <xdr:from>
      <xdr:col>7</xdr:col>
      <xdr:colOff>245247</xdr:colOff>
      <xdr:row>24</xdr:row>
      <xdr:rowOff>159139</xdr:rowOff>
    </xdr:from>
    <xdr:to>
      <xdr:col>8</xdr:col>
      <xdr:colOff>104775</xdr:colOff>
      <xdr:row>26</xdr:row>
      <xdr:rowOff>9019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F79A693D-F3A5-4B0B-AA83-1513F82595FD}"/>
            </a:ext>
          </a:extLst>
        </xdr:cNvPr>
        <xdr:cNvSpPr txBox="1"/>
      </xdr:nvSpPr>
      <xdr:spPr>
        <a:xfrm>
          <a:off x="5920833" y="4980760"/>
          <a:ext cx="621528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Subtotal</a:t>
          </a:r>
        </a:p>
      </xdr:txBody>
    </xdr:sp>
    <xdr:clientData/>
  </xdr:twoCellAnchor>
  <xdr:twoCellAnchor>
    <xdr:from>
      <xdr:col>7</xdr:col>
      <xdr:colOff>246748</xdr:colOff>
      <xdr:row>25</xdr:row>
      <xdr:rowOff>162383</xdr:rowOff>
    </xdr:from>
    <xdr:to>
      <xdr:col>8</xdr:col>
      <xdr:colOff>397668</xdr:colOff>
      <xdr:row>26</xdr:row>
      <xdr:rowOff>175173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54A66E99-5FF4-464F-BF97-32B01F7D45EF}"/>
            </a:ext>
          </a:extLst>
        </xdr:cNvPr>
        <xdr:cNvSpPr txBox="1"/>
      </xdr:nvSpPr>
      <xdr:spPr>
        <a:xfrm>
          <a:off x="5928618" y="5189926"/>
          <a:ext cx="912920" cy="203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16% IVA +</a:t>
          </a:r>
        </a:p>
      </xdr:txBody>
    </xdr:sp>
    <xdr:clientData/>
  </xdr:twoCellAnchor>
  <xdr:twoCellAnchor>
    <xdr:from>
      <xdr:col>7</xdr:col>
      <xdr:colOff>244144</xdr:colOff>
      <xdr:row>26</xdr:row>
      <xdr:rowOff>171281</xdr:rowOff>
    </xdr:from>
    <xdr:to>
      <xdr:col>8</xdr:col>
      <xdr:colOff>684886</xdr:colOff>
      <xdr:row>28</xdr:row>
      <xdr:rowOff>37726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CF674D8F-7BDF-4EBF-9651-3E44AD4DB130}"/>
            </a:ext>
          </a:extLst>
        </xdr:cNvPr>
        <xdr:cNvSpPr txBox="1"/>
      </xdr:nvSpPr>
      <xdr:spPr>
        <a:xfrm>
          <a:off x="5926014" y="5389324"/>
          <a:ext cx="1202742" cy="247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FACT.</a:t>
          </a:r>
          <a:r>
            <a:rPr lang="es-MX" sz="900" baseline="0">
              <a:solidFill>
                <a:schemeClr val="tx1"/>
              </a:solidFill>
            </a:rPr>
            <a:t> DEL PERIODO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242618</xdr:colOff>
      <xdr:row>27</xdr:row>
      <xdr:rowOff>164312</xdr:rowOff>
    </xdr:from>
    <xdr:to>
      <xdr:col>7</xdr:col>
      <xdr:colOff>735725</xdr:colOff>
      <xdr:row>29</xdr:row>
      <xdr:rowOff>14192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462E4770-8F56-4C4F-BBC8-2ACFEA9DA0F2}"/>
            </a:ext>
          </a:extLst>
        </xdr:cNvPr>
        <xdr:cNvSpPr txBox="1"/>
      </xdr:nvSpPr>
      <xdr:spPr>
        <a:xfrm>
          <a:off x="5918204" y="5557433"/>
          <a:ext cx="49310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DAP</a:t>
          </a:r>
        </a:p>
      </xdr:txBody>
    </xdr:sp>
    <xdr:clientData/>
  </xdr:twoCellAnchor>
  <xdr:twoCellAnchor>
    <xdr:from>
      <xdr:col>7</xdr:col>
      <xdr:colOff>240789</xdr:colOff>
      <xdr:row>28</xdr:row>
      <xdr:rowOff>168767</xdr:rowOff>
    </xdr:from>
    <xdr:to>
      <xdr:col>8</xdr:col>
      <xdr:colOff>522375</xdr:colOff>
      <xdr:row>30</xdr:row>
      <xdr:rowOff>26929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540A43F1-4AA4-4C38-8221-806C8FA55706}"/>
            </a:ext>
          </a:extLst>
        </xdr:cNvPr>
        <xdr:cNvSpPr txBox="1"/>
      </xdr:nvSpPr>
      <xdr:spPr>
        <a:xfrm>
          <a:off x="5922659" y="5767810"/>
          <a:ext cx="1043586" cy="239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tx1"/>
              </a:solidFill>
            </a:rPr>
            <a:t>TOTAL</a:t>
          </a:r>
          <a:r>
            <a:rPr lang="es-MX" sz="900" b="1" baseline="0">
              <a:solidFill>
                <a:schemeClr val="tx1"/>
              </a:solidFill>
            </a:rPr>
            <a:t> A PAGAR</a:t>
          </a:r>
          <a:endParaRPr lang="es-MX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180975</xdr:colOff>
      <xdr:row>2</xdr:row>
      <xdr:rowOff>160904</xdr:rowOff>
    </xdr:from>
    <xdr:to>
      <xdr:col>6</xdr:col>
      <xdr:colOff>118571</xdr:colOff>
      <xdr:row>5</xdr:row>
      <xdr:rowOff>108857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B56D395A-7AFC-4462-BBC4-97391F00AB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598" b="88506" l="3465" r="94059">
                      <a14:foregroundMark x1="68317" y1="33333" x2="68317" y2="33333"/>
                      <a14:foregroundMark x1="80693" y1="36782" x2="80693" y2="36782"/>
                      <a14:foregroundMark x1="80693" y1="34483" x2="80693" y2="34483"/>
                      <a14:foregroundMark x1="77723" y1="31034" x2="77723" y2="31034"/>
                      <a14:foregroundMark x1="76733" y1="37931" x2="76733" y2="37931"/>
                      <a14:foregroundMark x1="74257" y1="33333" x2="74257" y2="33333"/>
                      <a14:foregroundMark x1="89109" y1="17241" x2="89109" y2="17241"/>
                      <a14:foregroundMark x1="90099" y1="16092" x2="90099" y2="16092"/>
                      <a14:foregroundMark x1="88119" y1="34483" x2="88119" y2="34483"/>
                      <a14:foregroundMark x1="81683" y1="59770" x2="81683" y2="59770"/>
                      <a14:foregroundMark x1="81683" y1="65517" x2="81683" y2="65517"/>
                      <a14:foregroundMark x1="71782" y1="55172" x2="71782" y2="55172"/>
                      <a14:foregroundMark x1="80198" y1="41379" x2="80198" y2="41379"/>
                      <a14:foregroundMark x1="81188" y1="50575" x2="81188" y2="50575"/>
                      <a14:foregroundMark x1="84653" y1="44828" x2="84653" y2="44828"/>
                      <a14:foregroundMark x1="85149" y1="25287" x2="85149" y2="25287"/>
                      <a14:foregroundMark x1="85149" y1="25287" x2="83663" y2="25287"/>
                      <a14:foregroundMark x1="81683" y1="25287" x2="80693" y2="24138"/>
                      <a14:foregroundMark x1="79703" y1="24138" x2="79703" y2="24138"/>
                      <a14:foregroundMark x1="79703" y1="24138" x2="81188" y2="19540"/>
                      <a14:foregroundMark x1="81188" y1="18391" x2="81188" y2="18391"/>
                      <a14:foregroundMark x1="85149" y1="4598" x2="85149" y2="4598"/>
                      <a14:foregroundMark x1="76238" y1="27586" x2="76238" y2="27586"/>
                      <a14:foregroundMark x1="76733" y1="43678" x2="76733" y2="43678"/>
                      <a14:foregroundMark x1="76733" y1="51724" x2="76733" y2="51724"/>
                      <a14:foregroundMark x1="75248" y1="50575" x2="75248" y2="47126"/>
                      <a14:foregroundMark x1="75248" y1="41379" x2="75248" y2="41379"/>
                      <a14:foregroundMark x1="75248" y1="41379" x2="76733" y2="41379"/>
                      <a14:foregroundMark x1="85149" y1="42529" x2="85149" y2="44828"/>
                      <a14:foregroundMark x1="85149" y1="45977" x2="85149" y2="48276"/>
                      <a14:foregroundMark x1="85149" y1="50575" x2="85149" y2="54023"/>
                      <a14:foregroundMark x1="85149" y1="54023" x2="85149" y2="54023"/>
                      <a14:foregroundMark x1="76733" y1="54023" x2="75743" y2="55172"/>
                      <a14:foregroundMark x1="75248" y1="56322" x2="74257" y2="56322"/>
                      <a14:foregroundMark x1="74257" y1="55172" x2="74257" y2="55172"/>
                      <a14:foregroundMark x1="85149" y1="65517" x2="85149" y2="65517"/>
                      <a14:foregroundMark x1="77228" y1="64368" x2="77228" y2="64368"/>
                      <a14:foregroundMark x1="88614" y1="41379" x2="88614" y2="41379"/>
                      <a14:foregroundMark x1="90099" y1="39080" x2="90099" y2="39080"/>
                      <a14:foregroundMark x1="93069" y1="34483" x2="93069" y2="34483"/>
                      <a14:foregroundMark x1="60891" y1="42529" x2="60891" y2="42529"/>
                      <a14:foregroundMark x1="21287" y1="28736" x2="21287" y2="28736"/>
                      <a14:foregroundMark x1="4455" y1="67816" x2="4455" y2="67816"/>
                      <a14:foregroundMark x1="92574" y1="65517" x2="92574" y2="65517"/>
                      <a14:foregroundMark x1="94059" y1="65517" x2="94059" y2="65517"/>
                      <a14:foregroundMark x1="34158" y1="83908" x2="34158" y2="83908"/>
                      <a14:foregroundMark x1="38614" y1="40230" x2="38614" y2="40230"/>
                      <a14:foregroundMark x1="81683" y1="44828" x2="81683" y2="44828"/>
                      <a14:backgroundMark x1="33663" y1="81609" x2="33663" y2="81609"/>
                      <a14:backgroundMark x1="33663" y1="83908" x2="33663" y2="83908"/>
                      <a14:backgroundMark x1="35149" y1="83908" x2="35149" y2="83908"/>
                      <a14:backgroundMark x1="34653" y1="81609" x2="34653" y2="81609"/>
                      <a14:backgroundMark x1="27723" y1="52874" x2="27723" y2="52874"/>
                    </a14:backgroundRemoval>
                  </a14:imgEffect>
                </a14:imgLayer>
              </a14:imgProps>
            </a:ext>
          </a:extLst>
        </a:blip>
        <a:srcRect b="16845"/>
        <a:stretch/>
      </xdr:blipFill>
      <xdr:spPr>
        <a:xfrm>
          <a:off x="3533775" y="637154"/>
          <a:ext cx="1461596" cy="519453"/>
        </a:xfrm>
        <a:prstGeom prst="rect">
          <a:avLst/>
        </a:prstGeom>
      </xdr:spPr>
    </xdr:pic>
    <xdr:clientData/>
  </xdr:twoCellAnchor>
  <xdr:twoCellAnchor>
    <xdr:from>
      <xdr:col>2</xdr:col>
      <xdr:colOff>289064</xdr:colOff>
      <xdr:row>14</xdr:row>
      <xdr:rowOff>156953</xdr:rowOff>
    </xdr:from>
    <xdr:to>
      <xdr:col>2</xdr:col>
      <xdr:colOff>894522</xdr:colOff>
      <xdr:row>16</xdr:row>
      <xdr:rowOff>52178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8EED0341-0CB1-4C4A-8EBC-0F6D84A27E75}"/>
            </a:ext>
          </a:extLst>
        </xdr:cNvPr>
        <xdr:cNvSpPr txBox="1"/>
      </xdr:nvSpPr>
      <xdr:spPr>
        <a:xfrm>
          <a:off x="1813064" y="3022736"/>
          <a:ext cx="605458" cy="29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F.P.</a:t>
          </a:r>
        </a:p>
      </xdr:txBody>
    </xdr:sp>
    <xdr:clientData/>
  </xdr:twoCellAnchor>
  <xdr:twoCellAnchor>
    <xdr:from>
      <xdr:col>2</xdr:col>
      <xdr:colOff>280718</xdr:colOff>
      <xdr:row>28</xdr:row>
      <xdr:rowOff>171606</xdr:rowOff>
    </xdr:from>
    <xdr:to>
      <xdr:col>2</xdr:col>
      <xdr:colOff>898922</xdr:colOff>
      <xdr:row>30</xdr:row>
      <xdr:rowOff>21486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BA033B92-993D-40D1-9EDC-CD95E6D17B66}"/>
            </a:ext>
          </a:extLst>
        </xdr:cNvPr>
        <xdr:cNvSpPr txBox="1"/>
      </xdr:nvSpPr>
      <xdr:spPr>
        <a:xfrm>
          <a:off x="1804718" y="5762048"/>
          <a:ext cx="61820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SCnMEM</a:t>
          </a:r>
        </a:p>
      </xdr:txBody>
    </xdr:sp>
    <xdr:clientData/>
  </xdr:twoCellAnchor>
  <xdr:twoCellAnchor>
    <xdr:from>
      <xdr:col>3</xdr:col>
      <xdr:colOff>704850</xdr:colOff>
      <xdr:row>5</xdr:row>
      <xdr:rowOff>0</xdr:rowOff>
    </xdr:from>
    <xdr:to>
      <xdr:col>6</xdr:col>
      <xdr:colOff>371476</xdr:colOff>
      <xdr:row>6</xdr:row>
      <xdr:rowOff>117872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70C0BD0C-57A1-4B4B-8B75-A1FB78AD5846}"/>
            </a:ext>
          </a:extLst>
        </xdr:cNvPr>
        <xdr:cNvSpPr txBox="1"/>
      </xdr:nvSpPr>
      <xdr:spPr>
        <a:xfrm>
          <a:off x="3295650" y="1038225"/>
          <a:ext cx="1952626" cy="308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/>
            <a:t>Programa de Ahorro Sistemático</a:t>
          </a:r>
          <a:r>
            <a:rPr lang="es-MX" sz="800" b="1" baseline="0"/>
            <a:t> Integral</a:t>
          </a:r>
          <a:endParaRPr lang="es-MX" sz="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7</xdr:row>
      <xdr:rowOff>123825</xdr:rowOff>
    </xdr:from>
    <xdr:to>
      <xdr:col>5</xdr:col>
      <xdr:colOff>85725</xdr:colOff>
      <xdr:row>12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2562225" y="1457325"/>
          <a:ext cx="2085975" cy="828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12</xdr:row>
      <xdr:rowOff>9525</xdr:rowOff>
    </xdr:from>
    <xdr:to>
      <xdr:col>5</xdr:col>
      <xdr:colOff>114300</xdr:colOff>
      <xdr:row>12</xdr:row>
      <xdr:rowOff>114300</xdr:rowOff>
    </xdr:to>
    <xdr:cxnSp macro="">
      <xdr:nvCxnSpPr>
        <xdr:cNvPr id="5" name="Conector angula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390900" y="2295525"/>
          <a:ext cx="1285875" cy="104775"/>
        </a:xfrm>
        <a:prstGeom prst="bentConnector3">
          <a:avLst>
            <a:gd name="adj1" fmla="val 6037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13</xdr:row>
      <xdr:rowOff>28575</xdr:rowOff>
    </xdr:from>
    <xdr:to>
      <xdr:col>5</xdr:col>
      <xdr:colOff>123825</xdr:colOff>
      <xdr:row>13</xdr:row>
      <xdr:rowOff>133350</xdr:rowOff>
    </xdr:to>
    <xdr:cxnSp macro="">
      <xdr:nvCxnSpPr>
        <xdr:cNvPr id="9" name="Conector angula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3800475" y="2505075"/>
          <a:ext cx="885825" cy="1047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8</xdr:row>
      <xdr:rowOff>142875</xdr:rowOff>
    </xdr:from>
    <xdr:to>
      <xdr:col>9</xdr:col>
      <xdr:colOff>304800</xdr:colOff>
      <xdr:row>13</xdr:row>
      <xdr:rowOff>47625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7200900" y="1666875"/>
          <a:ext cx="504825" cy="857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156883</xdr:colOff>
      <xdr:row>12</xdr:row>
      <xdr:rowOff>29011</xdr:rowOff>
    </xdr:from>
    <xdr:to>
      <xdr:col>1</xdr:col>
      <xdr:colOff>773207</xdr:colOff>
      <xdr:row>14</xdr:row>
      <xdr:rowOff>24091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3" y="2315011"/>
          <a:ext cx="1759324" cy="385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310890</xdr:colOff>
      <xdr:row>16</xdr:row>
      <xdr:rowOff>2268</xdr:rowOff>
    </xdr:from>
    <xdr:to>
      <xdr:col>5</xdr:col>
      <xdr:colOff>76199</xdr:colOff>
      <xdr:row>17</xdr:row>
      <xdr:rowOff>6353</xdr:rowOff>
    </xdr:to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id="{9FBC7D22-BE49-4333-9DE6-D36D26441B28}"/>
            </a:ext>
          </a:extLst>
        </xdr:cNvPr>
        <xdr:cNvSpPr/>
      </xdr:nvSpPr>
      <xdr:spPr>
        <a:xfrm>
          <a:off x="1834890" y="3296331"/>
          <a:ext cx="2352934" cy="19458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305018</xdr:colOff>
      <xdr:row>32</xdr:row>
      <xdr:rowOff>892</xdr:rowOff>
    </xdr:from>
    <xdr:to>
      <xdr:col>8</xdr:col>
      <xdr:colOff>335346</xdr:colOff>
      <xdr:row>33</xdr:row>
      <xdr:rowOff>2614</xdr:rowOff>
    </xdr:to>
    <xdr:sp macro="" textlink="">
      <xdr:nvSpPr>
        <xdr:cNvPr id="182" name="Rectángulo 181">
          <a:extLst>
            <a:ext uri="{FF2B5EF4-FFF2-40B4-BE49-F238E27FC236}">
              <a16:creationId xmlns:a16="http://schemas.microsoft.com/office/drawing/2014/main" id="{95C8F6E8-8425-4990-8D68-AE754B829577}"/>
            </a:ext>
          </a:extLst>
        </xdr:cNvPr>
        <xdr:cNvSpPr/>
      </xdr:nvSpPr>
      <xdr:spPr>
        <a:xfrm>
          <a:off x="5941190" y="6346513"/>
          <a:ext cx="792328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286625</xdr:colOff>
      <xdr:row>28</xdr:row>
      <xdr:rowOff>172</xdr:rowOff>
    </xdr:from>
    <xdr:to>
      <xdr:col>8</xdr:col>
      <xdr:colOff>281235</xdr:colOff>
      <xdr:row>29</xdr:row>
      <xdr:rowOff>1627</xdr:rowOff>
    </xdr:to>
    <xdr:sp macro="" textlink="">
      <xdr:nvSpPr>
        <xdr:cNvPr id="181" name="Rectángulo 180">
          <a:extLst>
            <a:ext uri="{FF2B5EF4-FFF2-40B4-BE49-F238E27FC236}">
              <a16:creationId xmlns:a16="http://schemas.microsoft.com/office/drawing/2014/main" id="{25EA954C-340B-461D-B2E3-1C1DB66FBED6}"/>
            </a:ext>
          </a:extLst>
        </xdr:cNvPr>
        <xdr:cNvSpPr/>
      </xdr:nvSpPr>
      <xdr:spPr>
        <a:xfrm>
          <a:off x="5922797" y="5583793"/>
          <a:ext cx="756610" cy="19195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322099</xdr:colOff>
      <xdr:row>27</xdr:row>
      <xdr:rowOff>188778</xdr:rowOff>
    </xdr:from>
    <xdr:to>
      <xdr:col>3</xdr:col>
      <xdr:colOff>35720</xdr:colOff>
      <xdr:row>29</xdr:row>
      <xdr:rowOff>0</xdr:rowOff>
    </xdr:to>
    <xdr:sp macro="" textlink="">
      <xdr:nvSpPr>
        <xdr:cNvPr id="143" name="Rectángulo 142">
          <a:extLst>
            <a:ext uri="{FF2B5EF4-FFF2-40B4-BE49-F238E27FC236}">
              <a16:creationId xmlns:a16="http://schemas.microsoft.com/office/drawing/2014/main" id="{20BA5712-4636-46AC-84DD-04F63B208B89}"/>
            </a:ext>
          </a:extLst>
        </xdr:cNvPr>
        <xdr:cNvSpPr/>
      </xdr:nvSpPr>
      <xdr:spPr>
        <a:xfrm>
          <a:off x="1846099" y="5623981"/>
          <a:ext cx="779230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327540</xdr:colOff>
      <xdr:row>33</xdr:row>
      <xdr:rowOff>188779</xdr:rowOff>
    </xdr:from>
    <xdr:to>
      <xdr:col>3</xdr:col>
      <xdr:colOff>17860</xdr:colOff>
      <xdr:row>35</xdr:row>
      <xdr:rowOff>1</xdr:rowOff>
    </xdr:to>
    <xdr:sp macro="" textlink="">
      <xdr:nvSpPr>
        <xdr:cNvPr id="146" name="Rectángulo 145">
          <a:extLst>
            <a:ext uri="{FF2B5EF4-FFF2-40B4-BE49-F238E27FC236}">
              <a16:creationId xmlns:a16="http://schemas.microsoft.com/office/drawing/2014/main" id="{E12ACE27-1F09-433B-9D27-3FF296172492}"/>
            </a:ext>
          </a:extLst>
        </xdr:cNvPr>
        <xdr:cNvSpPr/>
      </xdr:nvSpPr>
      <xdr:spPr>
        <a:xfrm>
          <a:off x="1851540" y="6766982"/>
          <a:ext cx="755929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327540</xdr:colOff>
      <xdr:row>31</xdr:row>
      <xdr:rowOff>188779</xdr:rowOff>
    </xdr:from>
    <xdr:to>
      <xdr:col>3</xdr:col>
      <xdr:colOff>17860</xdr:colOff>
      <xdr:row>33</xdr:row>
      <xdr:rowOff>1</xdr:rowOff>
    </xdr:to>
    <xdr:sp macro="" textlink="">
      <xdr:nvSpPr>
        <xdr:cNvPr id="145" name="Rectángulo 144">
          <a:extLst>
            <a:ext uri="{FF2B5EF4-FFF2-40B4-BE49-F238E27FC236}">
              <a16:creationId xmlns:a16="http://schemas.microsoft.com/office/drawing/2014/main" id="{922FF99F-9256-4FB3-BF8E-D5F9F74E663A}"/>
            </a:ext>
          </a:extLst>
        </xdr:cNvPr>
        <xdr:cNvSpPr/>
      </xdr:nvSpPr>
      <xdr:spPr>
        <a:xfrm>
          <a:off x="1851540" y="6385982"/>
          <a:ext cx="755929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322097</xdr:colOff>
      <xdr:row>29</xdr:row>
      <xdr:rowOff>188779</xdr:rowOff>
    </xdr:from>
    <xdr:to>
      <xdr:col>3</xdr:col>
      <xdr:colOff>47625</xdr:colOff>
      <xdr:row>31</xdr:row>
      <xdr:rowOff>1</xdr:rowOff>
    </xdr:to>
    <xdr:sp macro="" textlink="">
      <xdr:nvSpPr>
        <xdr:cNvPr id="144" name="Rectángulo 143">
          <a:extLst>
            <a:ext uri="{FF2B5EF4-FFF2-40B4-BE49-F238E27FC236}">
              <a16:creationId xmlns:a16="http://schemas.microsoft.com/office/drawing/2014/main" id="{7D730014-97EA-4612-8E89-D5BCCE21085B}"/>
            </a:ext>
          </a:extLst>
        </xdr:cNvPr>
        <xdr:cNvSpPr/>
      </xdr:nvSpPr>
      <xdr:spPr>
        <a:xfrm>
          <a:off x="1846097" y="6004982"/>
          <a:ext cx="791137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310890</xdr:colOff>
      <xdr:row>14</xdr:row>
      <xdr:rowOff>3852</xdr:rowOff>
    </xdr:from>
    <xdr:to>
      <xdr:col>5</xdr:col>
      <xdr:colOff>76199</xdr:colOff>
      <xdr:row>15</xdr:row>
      <xdr:rowOff>0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9FBC7D22-BE49-4333-9DE6-D36D26441B28}"/>
            </a:ext>
          </a:extLst>
        </xdr:cNvPr>
        <xdr:cNvSpPr/>
      </xdr:nvSpPr>
      <xdr:spPr>
        <a:xfrm>
          <a:off x="1834890" y="2899452"/>
          <a:ext cx="2051309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310890</xdr:colOff>
      <xdr:row>12</xdr:row>
      <xdr:rowOff>3852</xdr:rowOff>
    </xdr:from>
    <xdr:to>
      <xdr:col>5</xdr:col>
      <xdr:colOff>76199</xdr:colOff>
      <xdr:row>13</xdr:row>
      <xdr:rowOff>0</xdr:rowOff>
    </xdr:to>
    <xdr:sp macro="" textlink="">
      <xdr:nvSpPr>
        <xdr:cNvPr id="108" name="Rectángulo 107">
          <a:extLst>
            <a:ext uri="{FF2B5EF4-FFF2-40B4-BE49-F238E27FC236}">
              <a16:creationId xmlns:a16="http://schemas.microsoft.com/office/drawing/2014/main" id="{ECBE0095-6340-4BCC-AD4C-72D80DB82A9A}"/>
            </a:ext>
          </a:extLst>
        </xdr:cNvPr>
        <xdr:cNvSpPr/>
      </xdr:nvSpPr>
      <xdr:spPr>
        <a:xfrm>
          <a:off x="1834890" y="2499402"/>
          <a:ext cx="2051309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238486</xdr:colOff>
      <xdr:row>10</xdr:row>
      <xdr:rowOff>106074</xdr:rowOff>
    </xdr:from>
    <xdr:to>
      <xdr:col>10</xdr:col>
      <xdr:colOff>123715</xdr:colOff>
      <xdr:row>17</xdr:row>
      <xdr:rowOff>119062</xdr:rowOff>
    </xdr:to>
    <xdr:sp macro="" textlink="">
      <xdr:nvSpPr>
        <xdr:cNvPr id="99" name="Rectángulo: esquinas redondeadas 98">
          <a:extLst>
            <a:ext uri="{FF2B5EF4-FFF2-40B4-BE49-F238E27FC236}">
              <a16:creationId xmlns:a16="http://schemas.microsoft.com/office/drawing/2014/main" id="{1321D68F-C932-471F-8CDF-5C22674F93BE}"/>
            </a:ext>
          </a:extLst>
        </xdr:cNvPr>
        <xdr:cNvSpPr/>
      </xdr:nvSpPr>
      <xdr:spPr>
        <a:xfrm>
          <a:off x="1762486" y="2225387"/>
          <a:ext cx="6719417" cy="1378238"/>
        </a:xfrm>
        <a:prstGeom prst="roundRect">
          <a:avLst>
            <a:gd name="adj" fmla="val 9173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2</xdr:col>
      <xdr:colOff>124735</xdr:colOff>
      <xdr:row>1</xdr:row>
      <xdr:rowOff>259478</xdr:rowOff>
    </xdr:from>
    <xdr:to>
      <xdr:col>3</xdr:col>
      <xdr:colOff>256685</xdr:colOff>
      <xdr:row>5</xdr:row>
      <xdr:rowOff>160868</xdr:rowOff>
    </xdr:to>
    <xdr:pic>
      <xdr:nvPicPr>
        <xdr:cNvPr id="87" name="Picture 2" descr="Image result for cfe">
          <a:extLst>
            <a:ext uri="{FF2B5EF4-FFF2-40B4-BE49-F238E27FC236}">
              <a16:creationId xmlns:a16="http://schemas.microsoft.com/office/drawing/2014/main" id="{8E212EF4-4C8D-4CFA-A2D9-441E4314DD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6441" y1="44915" x2="56441" y2="44915"/>
                      <a14:foregroundMark x1="56780" y1="44237" x2="56780" y2="44237"/>
                      <a14:foregroundMark x1="58814" y1="44746" x2="57966" y2="44746"/>
                      <a14:foregroundMark x1="57288" y1="44746" x2="57288" y2="44746"/>
                      <a14:foregroundMark x1="57119" y1="44746" x2="57119" y2="44746"/>
                      <a14:foregroundMark x1="55424" y1="44576" x2="55424" y2="4457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937" t="25587" r="17862" b="32784"/>
        <a:stretch/>
      </xdr:blipFill>
      <xdr:spPr bwMode="auto">
        <a:xfrm>
          <a:off x="1648735" y="461884"/>
          <a:ext cx="1203513" cy="74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756806</xdr:colOff>
      <xdr:row>2</xdr:row>
      <xdr:rowOff>154269</xdr:rowOff>
    </xdr:from>
    <xdr:to>
      <xdr:col>10</xdr:col>
      <xdr:colOff>19050</xdr:colOff>
      <xdr:row>3</xdr:row>
      <xdr:rowOff>142875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id="{6E235955-67A6-44D7-93F4-B0EC74F0B2AC}"/>
            </a:ext>
          </a:extLst>
        </xdr:cNvPr>
        <xdr:cNvSpPr/>
      </xdr:nvSpPr>
      <xdr:spPr>
        <a:xfrm>
          <a:off x="5633606" y="620994"/>
          <a:ext cx="2672194" cy="17910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756807</xdr:colOff>
      <xdr:row>4</xdr:row>
      <xdr:rowOff>78441</xdr:rowOff>
    </xdr:from>
    <xdr:to>
      <xdr:col>9</xdr:col>
      <xdr:colOff>503087</xdr:colOff>
      <xdr:row>5</xdr:row>
      <xdr:rowOff>54925</xdr:rowOff>
    </xdr:to>
    <xdr:sp macro="" textlink="">
      <xdr:nvSpPr>
        <xdr:cNvPr id="89" name="Rectángulo 88">
          <a:extLst>
            <a:ext uri="{FF2B5EF4-FFF2-40B4-BE49-F238E27FC236}">
              <a16:creationId xmlns:a16="http://schemas.microsoft.com/office/drawing/2014/main" id="{4174B011-7F60-48AD-8AC2-FEF3C1854498}"/>
            </a:ext>
          </a:extLst>
        </xdr:cNvPr>
        <xdr:cNvSpPr/>
      </xdr:nvSpPr>
      <xdr:spPr>
        <a:xfrm>
          <a:off x="5328807" y="926166"/>
          <a:ext cx="2032280" cy="16698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705533</xdr:colOff>
      <xdr:row>5</xdr:row>
      <xdr:rowOff>177678</xdr:rowOff>
    </xdr:from>
    <xdr:to>
      <xdr:col>9</xdr:col>
      <xdr:colOff>123264</xdr:colOff>
      <xdr:row>7</xdr:row>
      <xdr:rowOff>82013</xdr:rowOff>
    </xdr:to>
    <xdr:sp macro="" textlink="">
      <xdr:nvSpPr>
        <xdr:cNvPr id="90" name="CuadroTexto 9">
          <a:extLst>
            <a:ext uri="{FF2B5EF4-FFF2-40B4-BE49-F238E27FC236}">
              <a16:creationId xmlns:a16="http://schemas.microsoft.com/office/drawing/2014/main" id="{C46DD5C5-AA9D-4EAE-90F1-2A34A44BC2B0}"/>
            </a:ext>
          </a:extLst>
        </xdr:cNvPr>
        <xdr:cNvSpPr txBox="1"/>
      </xdr:nvSpPr>
      <xdr:spPr>
        <a:xfrm>
          <a:off x="5277533" y="1219825"/>
          <a:ext cx="1703731" cy="28533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>
              <a:latin typeface="Eurostile" panose="020B0504020202050204" pitchFamily="34" charset="0"/>
            </a:rPr>
            <a:t>TOTAL A PAGAR:</a:t>
          </a:r>
        </a:p>
      </xdr:txBody>
    </xdr:sp>
    <xdr:clientData/>
  </xdr:twoCellAnchor>
  <xdr:twoCellAnchor>
    <xdr:from>
      <xdr:col>2</xdr:col>
      <xdr:colOff>240279</xdr:colOff>
      <xdr:row>10</xdr:row>
      <xdr:rowOff>66480</xdr:rowOff>
    </xdr:from>
    <xdr:to>
      <xdr:col>10</xdr:col>
      <xdr:colOff>125506</xdr:colOff>
      <xdr:row>11</xdr:row>
      <xdr:rowOff>104775</xdr:rowOff>
    </xdr:to>
    <xdr:sp macro="" textlink="">
      <xdr:nvSpPr>
        <xdr:cNvPr id="100" name="Rectángulo: esquinas superiores redondeadas 99">
          <a:extLst>
            <a:ext uri="{FF2B5EF4-FFF2-40B4-BE49-F238E27FC236}">
              <a16:creationId xmlns:a16="http://schemas.microsoft.com/office/drawing/2014/main" id="{F7F131FE-F213-4201-BF76-75FDAA1E34AE}"/>
            </a:ext>
          </a:extLst>
        </xdr:cNvPr>
        <xdr:cNvSpPr/>
      </xdr:nvSpPr>
      <xdr:spPr>
        <a:xfrm>
          <a:off x="1764279" y="2181030"/>
          <a:ext cx="6619402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/>
            <a:t>Energía</a:t>
          </a:r>
          <a:r>
            <a:rPr lang="es-MX" sz="1200" baseline="0"/>
            <a:t> en kWh</a:t>
          </a:r>
          <a:endParaRPr lang="es-MX" sz="1200"/>
        </a:p>
      </xdr:txBody>
    </xdr:sp>
    <xdr:clientData/>
  </xdr:twoCellAnchor>
  <xdr:twoCellAnchor>
    <xdr:from>
      <xdr:col>2</xdr:col>
      <xdr:colOff>285750</xdr:colOff>
      <xdr:row>10</xdr:row>
      <xdr:rowOff>47624</xdr:rowOff>
    </xdr:from>
    <xdr:to>
      <xdr:col>3</xdr:col>
      <xdr:colOff>295275</xdr:colOff>
      <xdr:row>11</xdr:row>
      <xdr:rowOff>133349</xdr:rowOff>
    </xdr:to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D21BF03-D229-44E3-9BC5-1CA4148A954D}"/>
            </a:ext>
          </a:extLst>
        </xdr:cNvPr>
        <xdr:cNvSpPr txBox="1"/>
      </xdr:nvSpPr>
      <xdr:spPr>
        <a:xfrm>
          <a:off x="1809750" y="2162174"/>
          <a:ext cx="771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bg1"/>
              </a:solidFill>
            </a:rPr>
            <a:t>PERIODO</a:t>
          </a:r>
        </a:p>
      </xdr:txBody>
    </xdr:sp>
    <xdr:clientData/>
  </xdr:twoCellAnchor>
  <xdr:twoCellAnchor>
    <xdr:from>
      <xdr:col>2</xdr:col>
      <xdr:colOff>295275</xdr:colOff>
      <xdr:row>11</xdr:row>
      <xdr:rowOff>152399</xdr:rowOff>
    </xdr:from>
    <xdr:to>
      <xdr:col>3</xdr:col>
      <xdr:colOff>304800</xdr:colOff>
      <xdr:row>13</xdr:row>
      <xdr:rowOff>47624</xdr:rowOff>
    </xdr:to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DEEF600F-3C84-4F69-B684-E1A095D6258F}"/>
            </a:ext>
          </a:extLst>
        </xdr:cNvPr>
        <xdr:cNvSpPr txBox="1"/>
      </xdr:nvSpPr>
      <xdr:spPr>
        <a:xfrm>
          <a:off x="1819275" y="2457449"/>
          <a:ext cx="7715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BASE</a:t>
          </a:r>
        </a:p>
      </xdr:txBody>
    </xdr:sp>
    <xdr:clientData/>
  </xdr:twoCellAnchor>
  <xdr:twoCellAnchor>
    <xdr:from>
      <xdr:col>2</xdr:col>
      <xdr:colOff>285750</xdr:colOff>
      <xdr:row>12</xdr:row>
      <xdr:rowOff>161924</xdr:rowOff>
    </xdr:from>
    <xdr:to>
      <xdr:col>3</xdr:col>
      <xdr:colOff>533400</xdr:colOff>
      <xdr:row>14</xdr:row>
      <xdr:rowOff>57149</xdr:rowOff>
    </xdr:to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6B10EE32-A336-49C8-8353-9E9C0DC94B55}"/>
            </a:ext>
          </a:extLst>
        </xdr:cNvPr>
        <xdr:cNvSpPr txBox="1"/>
      </xdr:nvSpPr>
      <xdr:spPr>
        <a:xfrm>
          <a:off x="1809750" y="2657474"/>
          <a:ext cx="10096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INTERMEDIO</a:t>
          </a:r>
        </a:p>
      </xdr:txBody>
    </xdr:sp>
    <xdr:clientData/>
  </xdr:twoCellAnchor>
  <xdr:twoCellAnchor>
    <xdr:from>
      <xdr:col>2</xdr:col>
      <xdr:colOff>285750</xdr:colOff>
      <xdr:row>13</xdr:row>
      <xdr:rowOff>161924</xdr:rowOff>
    </xdr:from>
    <xdr:to>
      <xdr:col>3</xdr:col>
      <xdr:colOff>295275</xdr:colOff>
      <xdr:row>15</xdr:row>
      <xdr:rowOff>57149</xdr:rowOff>
    </xdr:to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479CCFDB-FBF9-4D66-9448-8F49C5AE6048}"/>
            </a:ext>
          </a:extLst>
        </xdr:cNvPr>
        <xdr:cNvSpPr txBox="1"/>
      </xdr:nvSpPr>
      <xdr:spPr>
        <a:xfrm>
          <a:off x="1809750" y="2857499"/>
          <a:ext cx="1076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PUNTA</a:t>
          </a:r>
        </a:p>
      </xdr:txBody>
    </xdr:sp>
    <xdr:clientData/>
  </xdr:twoCellAnchor>
  <xdr:twoCellAnchor>
    <xdr:from>
      <xdr:col>2</xdr:col>
      <xdr:colOff>272612</xdr:colOff>
      <xdr:row>14</xdr:row>
      <xdr:rowOff>161924</xdr:rowOff>
    </xdr:from>
    <xdr:to>
      <xdr:col>3</xdr:col>
      <xdr:colOff>282137</xdr:colOff>
      <xdr:row>16</xdr:row>
      <xdr:rowOff>57149</xdr:rowOff>
    </xdr:to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A3D3085E-9138-4633-9D0E-1F40CDF23E5B}"/>
            </a:ext>
          </a:extLst>
        </xdr:cNvPr>
        <xdr:cNvSpPr txBox="1"/>
      </xdr:nvSpPr>
      <xdr:spPr>
        <a:xfrm>
          <a:off x="1796612" y="3052269"/>
          <a:ext cx="1073697" cy="289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tx1"/>
              </a:solidFill>
            </a:rPr>
            <a:t>TOTAL</a:t>
          </a:r>
        </a:p>
      </xdr:txBody>
    </xdr:sp>
    <xdr:clientData/>
  </xdr:twoCellAnchor>
  <xdr:twoCellAnchor>
    <xdr:from>
      <xdr:col>6</xdr:col>
      <xdr:colOff>749041</xdr:colOff>
      <xdr:row>12</xdr:row>
      <xdr:rowOff>3852</xdr:rowOff>
    </xdr:from>
    <xdr:to>
      <xdr:col>9</xdr:col>
      <xdr:colOff>1059865</xdr:colOff>
      <xdr:row>13</xdr:row>
      <xdr:rowOff>0</xdr:rowOff>
    </xdr:to>
    <xdr:sp macro="" textlink="">
      <xdr:nvSpPr>
        <xdr:cNvPr id="109" name="Rectángulo 108">
          <a:extLst>
            <a:ext uri="{FF2B5EF4-FFF2-40B4-BE49-F238E27FC236}">
              <a16:creationId xmlns:a16="http://schemas.microsoft.com/office/drawing/2014/main" id="{8BB301E8-2986-447B-94EC-CA7FABDA1437}"/>
            </a:ext>
          </a:extLst>
        </xdr:cNvPr>
        <xdr:cNvSpPr/>
      </xdr:nvSpPr>
      <xdr:spPr>
        <a:xfrm>
          <a:off x="5625841" y="2499402"/>
          <a:ext cx="2596824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758565</xdr:colOff>
      <xdr:row>14</xdr:row>
      <xdr:rowOff>3852</xdr:rowOff>
    </xdr:from>
    <xdr:to>
      <xdr:col>9</xdr:col>
      <xdr:colOff>1059676</xdr:colOff>
      <xdr:row>15</xdr:row>
      <xdr:rowOff>0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F0FAA62D-6D7D-4409-B1AB-F41F71F4F292}"/>
            </a:ext>
          </a:extLst>
        </xdr:cNvPr>
        <xdr:cNvSpPr/>
      </xdr:nvSpPr>
      <xdr:spPr>
        <a:xfrm>
          <a:off x="5635365" y="2899452"/>
          <a:ext cx="2587111" cy="19617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322096</xdr:colOff>
      <xdr:row>22</xdr:row>
      <xdr:rowOff>3413</xdr:rowOff>
    </xdr:from>
    <xdr:to>
      <xdr:col>5</xdr:col>
      <xdr:colOff>87405</xdr:colOff>
      <xdr:row>22</xdr:row>
      <xdr:rowOff>198782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99662826-22B2-4E77-B054-B67FFDA552BE}"/>
            </a:ext>
          </a:extLst>
        </xdr:cNvPr>
        <xdr:cNvSpPr/>
      </xdr:nvSpPr>
      <xdr:spPr>
        <a:xfrm>
          <a:off x="1846096" y="4451174"/>
          <a:ext cx="2051309" cy="19536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322096</xdr:colOff>
      <xdr:row>19</xdr:row>
      <xdr:rowOff>188067</xdr:rowOff>
    </xdr:from>
    <xdr:to>
      <xdr:col>5</xdr:col>
      <xdr:colOff>87405</xdr:colOff>
      <xdr:row>20</xdr:row>
      <xdr:rowOff>195421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62009136-01E9-4956-A93C-06608A858099}"/>
            </a:ext>
          </a:extLst>
        </xdr:cNvPr>
        <xdr:cNvSpPr/>
      </xdr:nvSpPr>
      <xdr:spPr>
        <a:xfrm>
          <a:off x="1846096" y="4047763"/>
          <a:ext cx="2051309" cy="19785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249692</xdr:colOff>
      <xdr:row>18</xdr:row>
      <xdr:rowOff>91506</xdr:rowOff>
    </xdr:from>
    <xdr:to>
      <xdr:col>10</xdr:col>
      <xdr:colOff>123825</xdr:colOff>
      <xdr:row>23</xdr:row>
      <xdr:rowOff>142875</xdr:rowOff>
    </xdr:to>
    <xdr:sp macro="" textlink="">
      <xdr:nvSpPr>
        <xdr:cNvPr id="116" name="Rectángulo: esquinas redondeadas 115">
          <a:extLst>
            <a:ext uri="{FF2B5EF4-FFF2-40B4-BE49-F238E27FC236}">
              <a16:creationId xmlns:a16="http://schemas.microsoft.com/office/drawing/2014/main" id="{AF7D1028-C37B-407F-9910-AA24711994C3}"/>
            </a:ext>
          </a:extLst>
        </xdr:cNvPr>
        <xdr:cNvSpPr/>
      </xdr:nvSpPr>
      <xdr:spPr>
        <a:xfrm>
          <a:off x="1773692" y="3768156"/>
          <a:ext cx="6646408" cy="1032444"/>
        </a:xfrm>
        <a:prstGeom prst="roundRect">
          <a:avLst>
            <a:gd name="adj" fmla="val 8545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251485</xdr:colOff>
      <xdr:row>18</xdr:row>
      <xdr:rowOff>60195</xdr:rowOff>
    </xdr:from>
    <xdr:to>
      <xdr:col>10</xdr:col>
      <xdr:colOff>125616</xdr:colOff>
      <xdr:row>19</xdr:row>
      <xdr:rowOff>98490</xdr:rowOff>
    </xdr:to>
    <xdr:sp macro="" textlink="">
      <xdr:nvSpPr>
        <xdr:cNvPr id="117" name="Rectángulo: esquinas superiores redondeadas 116">
          <a:extLst>
            <a:ext uri="{FF2B5EF4-FFF2-40B4-BE49-F238E27FC236}">
              <a16:creationId xmlns:a16="http://schemas.microsoft.com/office/drawing/2014/main" id="{41D40D05-AF46-496F-B0F6-100B5D63B37D}"/>
            </a:ext>
          </a:extLst>
        </xdr:cNvPr>
        <xdr:cNvSpPr/>
      </xdr:nvSpPr>
      <xdr:spPr>
        <a:xfrm>
          <a:off x="1775485" y="3736845"/>
          <a:ext cx="6608306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aseline="0"/>
            <a:t>Demanda en kW</a:t>
          </a:r>
          <a:endParaRPr lang="es-MX" sz="1200"/>
        </a:p>
      </xdr:txBody>
    </xdr:sp>
    <xdr:clientData/>
  </xdr:twoCellAnchor>
  <xdr:twoCellAnchor>
    <xdr:from>
      <xdr:col>2</xdr:col>
      <xdr:colOff>296956</xdr:colOff>
      <xdr:row>18</xdr:row>
      <xdr:rowOff>44262</xdr:rowOff>
    </xdr:from>
    <xdr:to>
      <xdr:col>3</xdr:col>
      <xdr:colOff>306481</xdr:colOff>
      <xdr:row>19</xdr:row>
      <xdr:rowOff>129987</xdr:rowOff>
    </xdr:to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19155C36-EA85-4E9B-917E-3F9214B8F259}"/>
            </a:ext>
          </a:extLst>
        </xdr:cNvPr>
        <xdr:cNvSpPr txBox="1"/>
      </xdr:nvSpPr>
      <xdr:spPr>
        <a:xfrm>
          <a:off x="1820956" y="3730997"/>
          <a:ext cx="771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bg1"/>
              </a:solidFill>
            </a:rPr>
            <a:t>PERIODO</a:t>
          </a:r>
        </a:p>
      </xdr:txBody>
    </xdr:sp>
    <xdr:clientData/>
  </xdr:twoCellAnchor>
  <xdr:twoCellAnchor>
    <xdr:from>
      <xdr:col>2</xdr:col>
      <xdr:colOff>289915</xdr:colOff>
      <xdr:row>19</xdr:row>
      <xdr:rowOff>154397</xdr:rowOff>
    </xdr:from>
    <xdr:to>
      <xdr:col>3</xdr:col>
      <xdr:colOff>299440</xdr:colOff>
      <xdr:row>21</xdr:row>
      <xdr:rowOff>60828</xdr:rowOff>
    </xdr:to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24ED568A-2130-4094-861D-3A5F971E76C8}"/>
            </a:ext>
          </a:extLst>
        </xdr:cNvPr>
        <xdr:cNvSpPr txBox="1"/>
      </xdr:nvSpPr>
      <xdr:spPr>
        <a:xfrm>
          <a:off x="1813915" y="4014093"/>
          <a:ext cx="771525" cy="295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BASE</a:t>
          </a:r>
        </a:p>
      </xdr:txBody>
    </xdr:sp>
    <xdr:clientData/>
  </xdr:twoCellAnchor>
  <xdr:twoCellAnchor>
    <xdr:from>
      <xdr:col>2</xdr:col>
      <xdr:colOff>280390</xdr:colOff>
      <xdr:row>20</xdr:row>
      <xdr:rowOff>172205</xdr:rowOff>
    </xdr:from>
    <xdr:to>
      <xdr:col>3</xdr:col>
      <xdr:colOff>528040</xdr:colOff>
      <xdr:row>22</xdr:row>
      <xdr:rowOff>89842</xdr:rowOff>
    </xdr:to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4B34AE83-4EF3-47FD-BCAC-B914816CABAD}"/>
            </a:ext>
          </a:extLst>
        </xdr:cNvPr>
        <xdr:cNvSpPr txBox="1"/>
      </xdr:nvSpPr>
      <xdr:spPr>
        <a:xfrm>
          <a:off x="1804390" y="4222401"/>
          <a:ext cx="1009650" cy="315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INTERMEDIO</a:t>
          </a:r>
        </a:p>
      </xdr:txBody>
    </xdr:sp>
    <xdr:clientData/>
  </xdr:twoCellAnchor>
  <xdr:twoCellAnchor>
    <xdr:from>
      <xdr:col>2</xdr:col>
      <xdr:colOff>289915</xdr:colOff>
      <xdr:row>21</xdr:row>
      <xdr:rowOff>166845</xdr:rowOff>
    </xdr:from>
    <xdr:to>
      <xdr:col>3</xdr:col>
      <xdr:colOff>299440</xdr:colOff>
      <xdr:row>23</xdr:row>
      <xdr:rowOff>84481</xdr:rowOff>
    </xdr:to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155FD4C2-AD22-4DAC-97D4-D35A4A19CEC4}"/>
            </a:ext>
          </a:extLst>
        </xdr:cNvPr>
        <xdr:cNvSpPr txBox="1"/>
      </xdr:nvSpPr>
      <xdr:spPr>
        <a:xfrm>
          <a:off x="1813915" y="4415823"/>
          <a:ext cx="771525" cy="315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PUNTA</a:t>
          </a:r>
        </a:p>
      </xdr:txBody>
    </xdr:sp>
    <xdr:clientData/>
  </xdr:twoCellAnchor>
  <xdr:twoCellAnchor>
    <xdr:from>
      <xdr:col>6</xdr:col>
      <xdr:colOff>760246</xdr:colOff>
      <xdr:row>19</xdr:row>
      <xdr:rowOff>190499</xdr:rowOff>
    </xdr:from>
    <xdr:to>
      <xdr:col>9</xdr:col>
      <xdr:colOff>1020791</xdr:colOff>
      <xdr:row>21</xdr:row>
      <xdr:rowOff>0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16092E73-5497-4863-B1FB-35E1B2B39BAB}"/>
            </a:ext>
          </a:extLst>
        </xdr:cNvPr>
        <xdr:cNvSpPr/>
      </xdr:nvSpPr>
      <xdr:spPr>
        <a:xfrm>
          <a:off x="5637046" y="4057649"/>
          <a:ext cx="2546545" cy="20002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6</xdr:col>
      <xdr:colOff>761488</xdr:colOff>
      <xdr:row>22</xdr:row>
      <xdr:rowOff>0</xdr:rowOff>
    </xdr:from>
    <xdr:to>
      <xdr:col>9</xdr:col>
      <xdr:colOff>1011054</xdr:colOff>
      <xdr:row>23</xdr:row>
      <xdr:rowOff>0</xdr:rowOff>
    </xdr:to>
    <xdr:sp macro="" textlink="">
      <xdr:nvSpPr>
        <xdr:cNvPr id="124" name="Rectángulo 123">
          <a:extLst>
            <a:ext uri="{FF2B5EF4-FFF2-40B4-BE49-F238E27FC236}">
              <a16:creationId xmlns:a16="http://schemas.microsoft.com/office/drawing/2014/main" id="{BB0663EC-4CA0-4EBB-82F2-5530DEF21B99}"/>
            </a:ext>
          </a:extLst>
        </xdr:cNvPr>
        <xdr:cNvSpPr/>
      </xdr:nvSpPr>
      <xdr:spPr>
        <a:xfrm>
          <a:off x="5638288" y="4457700"/>
          <a:ext cx="2535566" cy="2000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322097</xdr:colOff>
      <xdr:row>25</xdr:row>
      <xdr:rowOff>189045</xdr:rowOff>
    </xdr:from>
    <xdr:to>
      <xdr:col>3</xdr:col>
      <xdr:colOff>11907</xdr:colOff>
      <xdr:row>27</xdr:row>
      <xdr:rowOff>0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4003B02F-9338-4377-9293-E7ADE9BBED2F}"/>
            </a:ext>
          </a:extLst>
        </xdr:cNvPr>
        <xdr:cNvSpPr/>
      </xdr:nvSpPr>
      <xdr:spPr>
        <a:xfrm>
          <a:off x="1846097" y="5243248"/>
          <a:ext cx="755419" cy="19195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2</xdr:col>
      <xdr:colOff>249692</xdr:colOff>
      <xdr:row>24</xdr:row>
      <xdr:rowOff>34503</xdr:rowOff>
    </xdr:from>
    <xdr:to>
      <xdr:col>7</xdr:col>
      <xdr:colOff>132522</xdr:colOff>
      <xdr:row>36</xdr:row>
      <xdr:rowOff>59531</xdr:rowOff>
    </xdr:to>
    <xdr:sp macro="" textlink="">
      <xdr:nvSpPr>
        <xdr:cNvPr id="127" name="Rectángulo: esquinas redondeadas 126">
          <a:extLst>
            <a:ext uri="{FF2B5EF4-FFF2-40B4-BE49-F238E27FC236}">
              <a16:creationId xmlns:a16="http://schemas.microsoft.com/office/drawing/2014/main" id="{9DF259E2-ADD0-4A6C-9ADC-AD69FE719BB5}"/>
            </a:ext>
          </a:extLst>
        </xdr:cNvPr>
        <xdr:cNvSpPr/>
      </xdr:nvSpPr>
      <xdr:spPr>
        <a:xfrm>
          <a:off x="1773692" y="4898206"/>
          <a:ext cx="3692830" cy="2311028"/>
        </a:xfrm>
        <a:prstGeom prst="roundRect">
          <a:avLst>
            <a:gd name="adj" fmla="val 2589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251485</xdr:colOff>
      <xdr:row>24</xdr:row>
      <xdr:rowOff>19758</xdr:rowOff>
    </xdr:from>
    <xdr:to>
      <xdr:col>7</xdr:col>
      <xdr:colOff>134314</xdr:colOff>
      <xdr:row>25</xdr:row>
      <xdr:rowOff>58053</xdr:rowOff>
    </xdr:to>
    <xdr:sp macro="" textlink="">
      <xdr:nvSpPr>
        <xdr:cNvPr id="128" name="Rectángulo: esquinas superiores redondeadas 127">
          <a:extLst>
            <a:ext uri="{FF2B5EF4-FFF2-40B4-BE49-F238E27FC236}">
              <a16:creationId xmlns:a16="http://schemas.microsoft.com/office/drawing/2014/main" id="{ABB24866-A86B-417C-9BCE-43A1BF63AC77}"/>
            </a:ext>
          </a:extLst>
        </xdr:cNvPr>
        <xdr:cNvSpPr/>
      </xdr:nvSpPr>
      <xdr:spPr>
        <a:xfrm>
          <a:off x="1775485" y="4856801"/>
          <a:ext cx="3692829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aseline="0"/>
            <a:t>Costo de la Energía en el Mercado</a:t>
          </a:r>
        </a:p>
      </xdr:txBody>
    </xdr:sp>
    <xdr:clientData/>
  </xdr:twoCellAnchor>
  <xdr:twoCellAnchor>
    <xdr:from>
      <xdr:col>2</xdr:col>
      <xdr:colOff>289915</xdr:colOff>
      <xdr:row>25</xdr:row>
      <xdr:rowOff>161328</xdr:rowOff>
    </xdr:from>
    <xdr:to>
      <xdr:col>2</xdr:col>
      <xdr:colOff>1000125</xdr:colOff>
      <xdr:row>27</xdr:row>
      <xdr:rowOff>5953</xdr:rowOff>
    </xdr:to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F47BA800-635D-43E8-B400-D091B078F5EA}"/>
            </a:ext>
          </a:extLst>
        </xdr:cNvPr>
        <xdr:cNvSpPr txBox="1"/>
      </xdr:nvSpPr>
      <xdr:spPr>
        <a:xfrm>
          <a:off x="1813915" y="5215531"/>
          <a:ext cx="710210" cy="225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Suministro</a:t>
          </a:r>
        </a:p>
      </xdr:txBody>
    </xdr:sp>
    <xdr:clientData/>
  </xdr:twoCellAnchor>
  <xdr:twoCellAnchor>
    <xdr:from>
      <xdr:col>2</xdr:col>
      <xdr:colOff>284660</xdr:colOff>
      <xdr:row>26</xdr:row>
      <xdr:rowOff>163259</xdr:rowOff>
    </xdr:from>
    <xdr:to>
      <xdr:col>3</xdr:col>
      <xdr:colOff>101203</xdr:colOff>
      <xdr:row>28</xdr:row>
      <xdr:rowOff>13139</xdr:rowOff>
    </xdr:to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2D19D903-C26E-40B4-9573-B382C44C77CC}"/>
            </a:ext>
          </a:extLst>
        </xdr:cNvPr>
        <xdr:cNvSpPr txBox="1"/>
      </xdr:nvSpPr>
      <xdr:spPr>
        <a:xfrm>
          <a:off x="1808660" y="5407962"/>
          <a:ext cx="75118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Distribución</a:t>
          </a:r>
        </a:p>
      </xdr:txBody>
    </xdr:sp>
    <xdr:clientData/>
  </xdr:twoCellAnchor>
  <xdr:twoCellAnchor>
    <xdr:from>
      <xdr:col>2</xdr:col>
      <xdr:colOff>285974</xdr:colOff>
      <xdr:row>27</xdr:row>
      <xdr:rowOff>161195</xdr:rowOff>
    </xdr:from>
    <xdr:to>
      <xdr:col>3</xdr:col>
      <xdr:colOff>125015</xdr:colOff>
      <xdr:row>29</xdr:row>
      <xdr:rowOff>11075</xdr:rowOff>
    </xdr:to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A40491BD-F1EE-4EB5-B548-0C2AC20B40C8}"/>
            </a:ext>
          </a:extLst>
        </xdr:cNvPr>
        <xdr:cNvSpPr txBox="1"/>
      </xdr:nvSpPr>
      <xdr:spPr>
        <a:xfrm>
          <a:off x="1809974" y="5596398"/>
          <a:ext cx="773682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Transmisión</a:t>
          </a:r>
        </a:p>
      </xdr:txBody>
    </xdr:sp>
    <xdr:clientData/>
  </xdr:twoCellAnchor>
  <xdr:twoCellAnchor>
    <xdr:from>
      <xdr:col>2</xdr:col>
      <xdr:colOff>280719</xdr:colOff>
      <xdr:row>28</xdr:row>
      <xdr:rowOff>162509</xdr:rowOff>
    </xdr:from>
    <xdr:to>
      <xdr:col>2</xdr:col>
      <xdr:colOff>839391</xdr:colOff>
      <xdr:row>30</xdr:row>
      <xdr:rowOff>12389</xdr:rowOff>
    </xdr:to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EA0D55B3-A31C-42A1-A97C-C6A79071ECAC}"/>
            </a:ext>
          </a:extLst>
        </xdr:cNvPr>
        <xdr:cNvSpPr txBox="1"/>
      </xdr:nvSpPr>
      <xdr:spPr>
        <a:xfrm>
          <a:off x="1804719" y="5788212"/>
          <a:ext cx="558672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CENACE</a:t>
          </a:r>
        </a:p>
      </xdr:txBody>
    </xdr:sp>
    <xdr:clientData/>
  </xdr:twoCellAnchor>
  <xdr:twoCellAnchor>
    <xdr:from>
      <xdr:col>2</xdr:col>
      <xdr:colOff>282033</xdr:colOff>
      <xdr:row>29</xdr:row>
      <xdr:rowOff>170286</xdr:rowOff>
    </xdr:from>
    <xdr:to>
      <xdr:col>2</xdr:col>
      <xdr:colOff>881062</xdr:colOff>
      <xdr:row>31</xdr:row>
      <xdr:rowOff>20166</xdr:rowOff>
    </xdr:to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E3F2412-F881-4547-AE34-B80F9231ECF6}"/>
            </a:ext>
          </a:extLst>
        </xdr:cNvPr>
        <xdr:cNvSpPr txBox="1"/>
      </xdr:nvSpPr>
      <xdr:spPr>
        <a:xfrm>
          <a:off x="1806033" y="5986489"/>
          <a:ext cx="599029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G.</a:t>
          </a:r>
          <a:r>
            <a:rPr lang="es-MX" sz="900" baseline="0">
              <a:solidFill>
                <a:schemeClr val="tx1"/>
              </a:solidFill>
            </a:rPr>
            <a:t> Base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283347</xdr:colOff>
      <xdr:row>30</xdr:row>
      <xdr:rowOff>164415</xdr:rowOff>
    </xdr:from>
    <xdr:to>
      <xdr:col>2</xdr:col>
      <xdr:colOff>904875</xdr:colOff>
      <xdr:row>32</xdr:row>
      <xdr:rowOff>14295</xdr:rowOff>
    </xdr:to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B320A09B-02EB-425C-A78C-31E5372537DF}"/>
            </a:ext>
          </a:extLst>
        </xdr:cNvPr>
        <xdr:cNvSpPr txBox="1"/>
      </xdr:nvSpPr>
      <xdr:spPr>
        <a:xfrm>
          <a:off x="1807347" y="6171118"/>
          <a:ext cx="621528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G.</a:t>
          </a:r>
          <a:r>
            <a:rPr lang="es-MX" sz="900" baseline="0">
              <a:solidFill>
                <a:schemeClr val="tx1"/>
              </a:solidFill>
            </a:rPr>
            <a:t> Inter.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284848</xdr:colOff>
      <xdr:row>31</xdr:row>
      <xdr:rowOff>167658</xdr:rowOff>
    </xdr:from>
    <xdr:to>
      <xdr:col>3</xdr:col>
      <xdr:colOff>130968</xdr:colOff>
      <xdr:row>32</xdr:row>
      <xdr:rowOff>180448</xdr:rowOff>
    </xdr:to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7DAF45E-80CB-4FE1-91F0-3FAFA68C0027}"/>
            </a:ext>
          </a:extLst>
        </xdr:cNvPr>
        <xdr:cNvSpPr txBox="1"/>
      </xdr:nvSpPr>
      <xdr:spPr>
        <a:xfrm>
          <a:off x="1808848" y="6364861"/>
          <a:ext cx="911729" cy="203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G.</a:t>
          </a:r>
          <a:r>
            <a:rPr lang="es-MX" sz="900" baseline="0">
              <a:solidFill>
                <a:schemeClr val="tx1"/>
              </a:solidFill>
            </a:rPr>
            <a:t> Punta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273962</xdr:colOff>
      <xdr:row>32</xdr:row>
      <xdr:rowOff>168274</xdr:rowOff>
    </xdr:from>
    <xdr:to>
      <xdr:col>3</xdr:col>
      <xdr:colOff>47625</xdr:colOff>
      <xdr:row>34</xdr:row>
      <xdr:rowOff>18154</xdr:rowOff>
    </xdr:to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DCBBF9F9-1260-466B-AA66-9FC623E8070B}"/>
            </a:ext>
          </a:extLst>
        </xdr:cNvPr>
        <xdr:cNvSpPr txBox="1"/>
      </xdr:nvSpPr>
      <xdr:spPr>
        <a:xfrm>
          <a:off x="1797962" y="6555977"/>
          <a:ext cx="839272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Capacidad</a:t>
          </a:r>
        </a:p>
      </xdr:txBody>
    </xdr:sp>
    <xdr:clientData/>
  </xdr:twoCellAnchor>
  <xdr:twoCellAnchor>
    <xdr:from>
      <xdr:col>2</xdr:col>
      <xdr:colOff>280718</xdr:colOff>
      <xdr:row>33</xdr:row>
      <xdr:rowOff>169588</xdr:rowOff>
    </xdr:from>
    <xdr:to>
      <xdr:col>2</xdr:col>
      <xdr:colOff>898922</xdr:colOff>
      <xdr:row>35</xdr:row>
      <xdr:rowOff>19468</xdr:rowOff>
    </xdr:to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3F54D846-1218-4AC0-885F-2887F6B8C295}"/>
            </a:ext>
          </a:extLst>
        </xdr:cNvPr>
        <xdr:cNvSpPr txBox="1"/>
      </xdr:nvSpPr>
      <xdr:spPr>
        <a:xfrm>
          <a:off x="1804718" y="6747791"/>
          <a:ext cx="61820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SCnMEM</a:t>
          </a:r>
        </a:p>
      </xdr:txBody>
    </xdr:sp>
    <xdr:clientData/>
  </xdr:twoCellAnchor>
  <xdr:twoCellAnchor>
    <xdr:from>
      <xdr:col>3</xdr:col>
      <xdr:colOff>300126</xdr:colOff>
      <xdr:row>25</xdr:row>
      <xdr:rowOff>67538</xdr:rowOff>
    </xdr:from>
    <xdr:to>
      <xdr:col>4</xdr:col>
      <xdr:colOff>506022</xdr:colOff>
      <xdr:row>26</xdr:row>
      <xdr:rowOff>47626</xdr:rowOff>
    </xdr:to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54A83CD7-7C3D-4241-9565-38D7FA5BCDF2}"/>
            </a:ext>
          </a:extLst>
        </xdr:cNvPr>
        <xdr:cNvSpPr txBox="1"/>
      </xdr:nvSpPr>
      <xdr:spPr>
        <a:xfrm>
          <a:off x="2887751" y="5099913"/>
          <a:ext cx="967896" cy="17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s-MX" sz="900" baseline="0">
              <a:solidFill>
                <a:schemeClr val="tx1"/>
              </a:solidFill>
            </a:rPr>
            <a:t>$/mes</a:t>
          </a:r>
          <a:endParaRPr lang="es-MX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43966</xdr:colOff>
      <xdr:row>25</xdr:row>
      <xdr:rowOff>13961</xdr:rowOff>
    </xdr:from>
    <xdr:to>
      <xdr:col>4</xdr:col>
      <xdr:colOff>728323</xdr:colOff>
      <xdr:row>25</xdr:row>
      <xdr:rowOff>184549</xdr:rowOff>
    </xdr:to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5E30305A-CE7F-47CD-9BFD-1A939DF1D1D0}"/>
            </a:ext>
          </a:extLst>
        </xdr:cNvPr>
        <xdr:cNvSpPr txBox="1"/>
      </xdr:nvSpPr>
      <xdr:spPr>
        <a:xfrm>
          <a:off x="3395575" y="5080070"/>
          <a:ext cx="684357" cy="17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solidFill>
                <a:schemeClr val="tx1"/>
              </a:solidFill>
            </a:rPr>
            <a:t>kWh</a:t>
          </a:r>
          <a:endParaRPr lang="es-MX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44476</xdr:colOff>
      <xdr:row>25</xdr:row>
      <xdr:rowOff>13960</xdr:rowOff>
    </xdr:from>
    <xdr:to>
      <xdr:col>5</xdr:col>
      <xdr:colOff>728833</xdr:colOff>
      <xdr:row>25</xdr:row>
      <xdr:rowOff>184548</xdr:rowOff>
    </xdr:to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9FEF8DD6-377C-4604-B9EA-EF97014D8109}"/>
            </a:ext>
          </a:extLst>
        </xdr:cNvPr>
        <xdr:cNvSpPr txBox="1"/>
      </xdr:nvSpPr>
      <xdr:spPr>
        <a:xfrm>
          <a:off x="4158085" y="5080069"/>
          <a:ext cx="684357" cy="17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solidFill>
                <a:schemeClr val="tx1"/>
              </a:solidFill>
            </a:rPr>
            <a:t>kW</a:t>
          </a:r>
          <a:endParaRPr lang="es-MX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274765</xdr:colOff>
      <xdr:row>34</xdr:row>
      <xdr:rowOff>172310</xdr:rowOff>
    </xdr:from>
    <xdr:to>
      <xdr:col>2</xdr:col>
      <xdr:colOff>797719</xdr:colOff>
      <xdr:row>36</xdr:row>
      <xdr:rowOff>22190</xdr:rowOff>
    </xdr:to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487BB0E2-2A8A-4838-9525-8EF2504E97B4}"/>
            </a:ext>
          </a:extLst>
        </xdr:cNvPr>
        <xdr:cNvSpPr txBox="1"/>
      </xdr:nvSpPr>
      <xdr:spPr>
        <a:xfrm>
          <a:off x="1798765" y="6941013"/>
          <a:ext cx="52295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tx1"/>
              </a:solidFill>
            </a:rPr>
            <a:t>TOTAL</a:t>
          </a:r>
        </a:p>
      </xdr:txBody>
    </xdr:sp>
    <xdr:clientData/>
  </xdr:twoCellAnchor>
  <xdr:twoCellAnchor>
    <xdr:from>
      <xdr:col>7</xdr:col>
      <xdr:colOff>289440</xdr:colOff>
      <xdr:row>33</xdr:row>
      <xdr:rowOff>190078</xdr:rowOff>
    </xdr:from>
    <xdr:to>
      <xdr:col>8</xdr:col>
      <xdr:colOff>284560</xdr:colOff>
      <xdr:row>35</xdr:row>
      <xdr:rowOff>1300</xdr:rowOff>
    </xdr:to>
    <xdr:sp macro="" textlink="">
      <xdr:nvSpPr>
        <xdr:cNvPr id="164" name="Rectángulo 163">
          <a:extLst>
            <a:ext uri="{FF2B5EF4-FFF2-40B4-BE49-F238E27FC236}">
              <a16:creationId xmlns:a16="http://schemas.microsoft.com/office/drawing/2014/main" id="{A53602B3-8BB6-4BF0-9AE1-8E133D7E6B21}"/>
            </a:ext>
          </a:extLst>
        </xdr:cNvPr>
        <xdr:cNvSpPr/>
      </xdr:nvSpPr>
      <xdr:spPr>
        <a:xfrm>
          <a:off x="5925612" y="6726199"/>
          <a:ext cx="757120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283997</xdr:colOff>
      <xdr:row>29</xdr:row>
      <xdr:rowOff>190078</xdr:rowOff>
    </xdr:from>
    <xdr:to>
      <xdr:col>8</xdr:col>
      <xdr:colOff>314325</xdr:colOff>
      <xdr:row>31</xdr:row>
      <xdr:rowOff>1300</xdr:rowOff>
    </xdr:to>
    <xdr:sp macro="" textlink="">
      <xdr:nvSpPr>
        <xdr:cNvPr id="165" name="Rectángulo 164">
          <a:extLst>
            <a:ext uri="{FF2B5EF4-FFF2-40B4-BE49-F238E27FC236}">
              <a16:creationId xmlns:a16="http://schemas.microsoft.com/office/drawing/2014/main" id="{3BFB2AC6-FFBE-43A0-ABD3-4CDFDCF84E12}"/>
            </a:ext>
          </a:extLst>
        </xdr:cNvPr>
        <xdr:cNvSpPr/>
      </xdr:nvSpPr>
      <xdr:spPr>
        <a:xfrm>
          <a:off x="5920169" y="5964199"/>
          <a:ext cx="792328" cy="19222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283997</xdr:colOff>
      <xdr:row>25</xdr:row>
      <xdr:rowOff>190344</xdr:rowOff>
    </xdr:from>
    <xdr:to>
      <xdr:col>8</xdr:col>
      <xdr:colOff>278607</xdr:colOff>
      <xdr:row>27</xdr:row>
      <xdr:rowOff>1299</xdr:rowOff>
    </xdr:to>
    <xdr:sp macro="" textlink="">
      <xdr:nvSpPr>
        <xdr:cNvPr id="166" name="Rectángulo 165">
          <a:extLst>
            <a:ext uri="{FF2B5EF4-FFF2-40B4-BE49-F238E27FC236}">
              <a16:creationId xmlns:a16="http://schemas.microsoft.com/office/drawing/2014/main" id="{3353207D-A781-4A23-84BE-599AE63DE609}"/>
            </a:ext>
          </a:extLst>
        </xdr:cNvPr>
        <xdr:cNvSpPr/>
      </xdr:nvSpPr>
      <xdr:spPr>
        <a:xfrm>
          <a:off x="5920169" y="5202465"/>
          <a:ext cx="756610" cy="19195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211592</xdr:colOff>
      <xdr:row>24</xdr:row>
      <xdr:rowOff>42371</xdr:rowOff>
    </xdr:from>
    <xdr:to>
      <xdr:col>10</xdr:col>
      <xdr:colOff>104775</xdr:colOff>
      <xdr:row>36</xdr:row>
      <xdr:rowOff>65689</xdr:rowOff>
    </xdr:to>
    <xdr:sp macro="" textlink="">
      <xdr:nvSpPr>
        <xdr:cNvPr id="167" name="Rectángulo: esquinas redondeadas 166">
          <a:extLst>
            <a:ext uri="{FF2B5EF4-FFF2-40B4-BE49-F238E27FC236}">
              <a16:creationId xmlns:a16="http://schemas.microsoft.com/office/drawing/2014/main" id="{80D56598-20A6-4B35-8A27-B9F45202D6A0}"/>
            </a:ext>
          </a:extLst>
        </xdr:cNvPr>
        <xdr:cNvSpPr/>
      </xdr:nvSpPr>
      <xdr:spPr>
        <a:xfrm>
          <a:off x="5847764" y="4863992"/>
          <a:ext cx="2514201" cy="2309318"/>
        </a:xfrm>
        <a:prstGeom prst="roundRect">
          <a:avLst>
            <a:gd name="adj" fmla="val 2589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>
    <xdr:from>
      <xdr:col>7</xdr:col>
      <xdr:colOff>213385</xdr:colOff>
      <xdr:row>24</xdr:row>
      <xdr:rowOff>27626</xdr:rowOff>
    </xdr:from>
    <xdr:to>
      <xdr:col>10</xdr:col>
      <xdr:colOff>106567</xdr:colOff>
      <xdr:row>25</xdr:row>
      <xdr:rowOff>65921</xdr:rowOff>
    </xdr:to>
    <xdr:sp macro="" textlink="">
      <xdr:nvSpPr>
        <xdr:cNvPr id="168" name="Rectángulo: esquinas superiores redondeadas 167">
          <a:extLst>
            <a:ext uri="{FF2B5EF4-FFF2-40B4-BE49-F238E27FC236}">
              <a16:creationId xmlns:a16="http://schemas.microsoft.com/office/drawing/2014/main" id="{396BCAAA-103C-45FF-BBEA-E5F73E8CEE36}"/>
            </a:ext>
          </a:extLst>
        </xdr:cNvPr>
        <xdr:cNvSpPr/>
      </xdr:nvSpPr>
      <xdr:spPr>
        <a:xfrm>
          <a:off x="5852185" y="4875851"/>
          <a:ext cx="2512557" cy="228795"/>
        </a:xfrm>
        <a:prstGeom prst="round2SameRect">
          <a:avLst>
            <a:gd name="adj1" fmla="val 46698"/>
            <a:gd name="adj2" fmla="val 0"/>
          </a:avLst>
        </a:prstGeom>
        <a:solidFill>
          <a:srgbClr val="1476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aseline="0"/>
            <a:t>Desglose del importe a pagar</a:t>
          </a:r>
        </a:p>
      </xdr:txBody>
    </xdr:sp>
    <xdr:clientData/>
  </xdr:twoCellAnchor>
  <xdr:twoCellAnchor>
    <xdr:from>
      <xdr:col>7</xdr:col>
      <xdr:colOff>251815</xdr:colOff>
      <xdr:row>25</xdr:row>
      <xdr:rowOff>169196</xdr:rowOff>
    </xdr:from>
    <xdr:to>
      <xdr:col>8</xdr:col>
      <xdr:colOff>200025</xdr:colOff>
      <xdr:row>27</xdr:row>
      <xdr:rowOff>13821</xdr:rowOff>
    </xdr:to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6C809985-7E27-4C0E-8F56-0311F47C6928}"/>
            </a:ext>
          </a:extLst>
        </xdr:cNvPr>
        <xdr:cNvSpPr txBox="1"/>
      </xdr:nvSpPr>
      <xdr:spPr>
        <a:xfrm>
          <a:off x="5887987" y="5181317"/>
          <a:ext cx="710210" cy="225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Suministro</a:t>
          </a:r>
        </a:p>
      </xdr:txBody>
    </xdr:sp>
    <xdr:clientData/>
  </xdr:twoCellAnchor>
  <xdr:twoCellAnchor>
    <xdr:from>
      <xdr:col>7</xdr:col>
      <xdr:colOff>246561</xdr:colOff>
      <xdr:row>26</xdr:row>
      <xdr:rowOff>171127</xdr:rowOff>
    </xdr:from>
    <xdr:to>
      <xdr:col>8</xdr:col>
      <xdr:colOff>105105</xdr:colOff>
      <xdr:row>28</xdr:row>
      <xdr:rowOff>21007</xdr:rowOff>
    </xdr:to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B537943C-578F-4DA1-A416-64C9A6B08BD0}"/>
            </a:ext>
          </a:extLst>
        </xdr:cNvPr>
        <xdr:cNvSpPr txBox="1"/>
      </xdr:nvSpPr>
      <xdr:spPr>
        <a:xfrm>
          <a:off x="5882733" y="5373748"/>
          <a:ext cx="620544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ENERGÍA</a:t>
          </a:r>
        </a:p>
      </xdr:txBody>
    </xdr:sp>
    <xdr:clientData/>
  </xdr:twoCellAnchor>
  <xdr:twoCellAnchor>
    <xdr:from>
      <xdr:col>7</xdr:col>
      <xdr:colOff>247874</xdr:colOff>
      <xdr:row>27</xdr:row>
      <xdr:rowOff>169063</xdr:rowOff>
    </xdr:from>
    <xdr:to>
      <xdr:col>8</xdr:col>
      <xdr:colOff>59121</xdr:colOff>
      <xdr:row>29</xdr:row>
      <xdr:rowOff>18943</xdr:rowOff>
    </xdr:to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E373E810-5659-4D3D-AC36-0CFCE9888B6F}"/>
            </a:ext>
          </a:extLst>
        </xdr:cNvPr>
        <xdr:cNvSpPr txBox="1"/>
      </xdr:nvSpPr>
      <xdr:spPr>
        <a:xfrm>
          <a:off x="5884046" y="5562184"/>
          <a:ext cx="57324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2%</a:t>
          </a:r>
          <a:r>
            <a:rPr lang="es-MX" sz="900" baseline="0">
              <a:solidFill>
                <a:schemeClr val="tx1"/>
              </a:solidFill>
            </a:rPr>
            <a:t> b.t.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242618</xdr:colOff>
      <xdr:row>28</xdr:row>
      <xdr:rowOff>170377</xdr:rowOff>
    </xdr:from>
    <xdr:to>
      <xdr:col>8</xdr:col>
      <xdr:colOff>426983</xdr:colOff>
      <xdr:row>30</xdr:row>
      <xdr:rowOff>20257</xdr:rowOff>
    </xdr:to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2AF2B729-9835-434A-BF48-BB0C725C575A}"/>
            </a:ext>
          </a:extLst>
        </xdr:cNvPr>
        <xdr:cNvSpPr txBox="1"/>
      </xdr:nvSpPr>
      <xdr:spPr>
        <a:xfrm>
          <a:off x="5878790" y="5753998"/>
          <a:ext cx="946365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FACT. NORNAL</a:t>
          </a:r>
        </a:p>
      </xdr:txBody>
    </xdr:sp>
    <xdr:clientData/>
  </xdr:twoCellAnchor>
  <xdr:twoCellAnchor>
    <xdr:from>
      <xdr:col>7</xdr:col>
      <xdr:colOff>243933</xdr:colOff>
      <xdr:row>29</xdr:row>
      <xdr:rowOff>178154</xdr:rowOff>
    </xdr:from>
    <xdr:to>
      <xdr:col>7</xdr:col>
      <xdr:colOff>762000</xdr:colOff>
      <xdr:row>31</xdr:row>
      <xdr:rowOff>28034</xdr:rowOff>
    </xdr:to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DC411E36-8BA5-4566-B06F-2B1D050080DA}"/>
            </a:ext>
          </a:extLst>
        </xdr:cNvPr>
        <xdr:cNvSpPr txBox="1"/>
      </xdr:nvSpPr>
      <xdr:spPr>
        <a:xfrm>
          <a:off x="5880105" y="5952275"/>
          <a:ext cx="51806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F.P.</a:t>
          </a:r>
        </a:p>
      </xdr:txBody>
    </xdr:sp>
    <xdr:clientData/>
  </xdr:twoCellAnchor>
  <xdr:twoCellAnchor>
    <xdr:from>
      <xdr:col>7</xdr:col>
      <xdr:colOff>245247</xdr:colOff>
      <xdr:row>30</xdr:row>
      <xdr:rowOff>172283</xdr:rowOff>
    </xdr:from>
    <xdr:to>
      <xdr:col>8</xdr:col>
      <xdr:colOff>104775</xdr:colOff>
      <xdr:row>32</xdr:row>
      <xdr:rowOff>22163</xdr:rowOff>
    </xdr:to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74CBE51C-750F-4BB7-A581-68871B55F1FB}"/>
            </a:ext>
          </a:extLst>
        </xdr:cNvPr>
        <xdr:cNvSpPr txBox="1"/>
      </xdr:nvSpPr>
      <xdr:spPr>
        <a:xfrm>
          <a:off x="5884047" y="6163508"/>
          <a:ext cx="621528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Subtotal</a:t>
          </a:r>
        </a:p>
      </xdr:txBody>
    </xdr:sp>
    <xdr:clientData/>
  </xdr:twoCellAnchor>
  <xdr:twoCellAnchor>
    <xdr:from>
      <xdr:col>7</xdr:col>
      <xdr:colOff>246748</xdr:colOff>
      <xdr:row>31</xdr:row>
      <xdr:rowOff>175526</xdr:rowOff>
    </xdr:from>
    <xdr:to>
      <xdr:col>8</xdr:col>
      <xdr:colOff>397668</xdr:colOff>
      <xdr:row>32</xdr:row>
      <xdr:rowOff>188316</xdr:rowOff>
    </xdr:to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F0BD9489-0A3D-4817-8048-AD1E76035D44}"/>
            </a:ext>
          </a:extLst>
        </xdr:cNvPr>
        <xdr:cNvSpPr txBox="1"/>
      </xdr:nvSpPr>
      <xdr:spPr>
        <a:xfrm>
          <a:off x="5885548" y="6357251"/>
          <a:ext cx="912920" cy="203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16% IVA +</a:t>
          </a:r>
        </a:p>
      </xdr:txBody>
    </xdr:sp>
    <xdr:clientData/>
  </xdr:twoCellAnchor>
  <xdr:twoCellAnchor>
    <xdr:from>
      <xdr:col>7</xdr:col>
      <xdr:colOff>235862</xdr:colOff>
      <xdr:row>32</xdr:row>
      <xdr:rowOff>176142</xdr:rowOff>
    </xdr:from>
    <xdr:to>
      <xdr:col>8</xdr:col>
      <xdr:colOff>676604</xdr:colOff>
      <xdr:row>34</xdr:row>
      <xdr:rowOff>26022</xdr:rowOff>
    </xdr:to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2B8BF023-9958-41D5-9580-162C00C5B05D}"/>
            </a:ext>
          </a:extLst>
        </xdr:cNvPr>
        <xdr:cNvSpPr txBox="1"/>
      </xdr:nvSpPr>
      <xdr:spPr>
        <a:xfrm>
          <a:off x="5872034" y="6521763"/>
          <a:ext cx="1202742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FACT.</a:t>
          </a:r>
          <a:r>
            <a:rPr lang="es-MX" sz="900" baseline="0">
              <a:solidFill>
                <a:schemeClr val="tx1"/>
              </a:solidFill>
            </a:rPr>
            <a:t> DEL PERIODO</a:t>
          </a:r>
          <a:endParaRPr lang="es-MX" sz="9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242618</xdr:colOff>
      <xdr:row>33</xdr:row>
      <xdr:rowOff>177456</xdr:rowOff>
    </xdr:from>
    <xdr:to>
      <xdr:col>7</xdr:col>
      <xdr:colOff>735725</xdr:colOff>
      <xdr:row>35</xdr:row>
      <xdr:rowOff>27336</xdr:rowOff>
    </xdr:to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E03EA902-B6EB-4D70-8100-8561D222D491}"/>
            </a:ext>
          </a:extLst>
        </xdr:cNvPr>
        <xdr:cNvSpPr txBox="1"/>
      </xdr:nvSpPr>
      <xdr:spPr>
        <a:xfrm>
          <a:off x="5878790" y="6713577"/>
          <a:ext cx="493107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solidFill>
                <a:schemeClr val="tx1"/>
              </a:solidFill>
            </a:rPr>
            <a:t>DAP</a:t>
          </a:r>
        </a:p>
      </xdr:txBody>
    </xdr:sp>
    <xdr:clientData/>
  </xdr:twoCellAnchor>
  <xdr:twoCellAnchor>
    <xdr:from>
      <xdr:col>7</xdr:col>
      <xdr:colOff>224225</xdr:colOff>
      <xdr:row>35</xdr:row>
      <xdr:rowOff>7976</xdr:rowOff>
    </xdr:from>
    <xdr:to>
      <xdr:col>8</xdr:col>
      <xdr:colOff>505811</xdr:colOff>
      <xdr:row>36</xdr:row>
      <xdr:rowOff>48356</xdr:rowOff>
    </xdr:to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99E3DD3A-C7F7-4B8F-A24F-8C959EBCAD91}"/>
            </a:ext>
          </a:extLst>
        </xdr:cNvPr>
        <xdr:cNvSpPr txBox="1"/>
      </xdr:nvSpPr>
      <xdr:spPr>
        <a:xfrm>
          <a:off x="5860397" y="6925097"/>
          <a:ext cx="1043586" cy="230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tx1"/>
              </a:solidFill>
            </a:rPr>
            <a:t>TOTAL</a:t>
          </a:r>
          <a:r>
            <a:rPr lang="es-MX" sz="900" b="1" baseline="0">
              <a:solidFill>
                <a:schemeClr val="tx1"/>
              </a:solidFill>
            </a:rPr>
            <a:t> A PAGAR</a:t>
          </a:r>
          <a:endParaRPr lang="es-MX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180975</xdr:colOff>
      <xdr:row>2</xdr:row>
      <xdr:rowOff>160904</xdr:rowOff>
    </xdr:from>
    <xdr:to>
      <xdr:col>6</xdr:col>
      <xdr:colOff>118571</xdr:colOff>
      <xdr:row>5</xdr:row>
      <xdr:rowOff>108857</xdr:rowOff>
    </xdr:to>
    <xdr:pic>
      <xdr:nvPicPr>
        <xdr:cNvPr id="189" name="Imagen 188">
          <a:extLst>
            <a:ext uri="{FF2B5EF4-FFF2-40B4-BE49-F238E27FC236}">
              <a16:creationId xmlns:a16="http://schemas.microsoft.com/office/drawing/2014/main" id="{AD0F608E-B9BC-4A7D-ACFC-54A82B401C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598" b="88506" l="3465" r="94059">
                      <a14:foregroundMark x1="68317" y1="33333" x2="68317" y2="33333"/>
                      <a14:foregroundMark x1="80693" y1="36782" x2="80693" y2="36782"/>
                      <a14:foregroundMark x1="80693" y1="34483" x2="80693" y2="34483"/>
                      <a14:foregroundMark x1="77723" y1="31034" x2="77723" y2="31034"/>
                      <a14:foregroundMark x1="76733" y1="37931" x2="76733" y2="37931"/>
                      <a14:foregroundMark x1="74257" y1="33333" x2="74257" y2="33333"/>
                      <a14:foregroundMark x1="89109" y1="17241" x2="89109" y2="17241"/>
                      <a14:foregroundMark x1="90099" y1="16092" x2="90099" y2="16092"/>
                      <a14:foregroundMark x1="88119" y1="34483" x2="88119" y2="34483"/>
                      <a14:foregroundMark x1="81683" y1="59770" x2="81683" y2="59770"/>
                      <a14:foregroundMark x1="81683" y1="65517" x2="81683" y2="65517"/>
                      <a14:foregroundMark x1="71782" y1="55172" x2="71782" y2="55172"/>
                      <a14:foregroundMark x1="80198" y1="41379" x2="80198" y2="41379"/>
                      <a14:foregroundMark x1="81188" y1="50575" x2="81188" y2="50575"/>
                      <a14:foregroundMark x1="84653" y1="44828" x2="84653" y2="44828"/>
                      <a14:foregroundMark x1="85149" y1="25287" x2="85149" y2="25287"/>
                      <a14:foregroundMark x1="85149" y1="25287" x2="83663" y2="25287"/>
                      <a14:foregroundMark x1="81683" y1="25287" x2="80693" y2="24138"/>
                      <a14:foregroundMark x1="79703" y1="24138" x2="79703" y2="24138"/>
                      <a14:foregroundMark x1="79703" y1="24138" x2="81188" y2="19540"/>
                      <a14:foregroundMark x1="81188" y1="18391" x2="81188" y2="18391"/>
                      <a14:foregroundMark x1="85149" y1="4598" x2="85149" y2="4598"/>
                      <a14:foregroundMark x1="76238" y1="27586" x2="76238" y2="27586"/>
                      <a14:foregroundMark x1="76733" y1="43678" x2="76733" y2="43678"/>
                      <a14:foregroundMark x1="76733" y1="51724" x2="76733" y2="51724"/>
                      <a14:foregroundMark x1="75248" y1="50575" x2="75248" y2="47126"/>
                      <a14:foregroundMark x1="75248" y1="41379" x2="75248" y2="41379"/>
                      <a14:foregroundMark x1="75248" y1="41379" x2="76733" y2="41379"/>
                      <a14:foregroundMark x1="85149" y1="42529" x2="85149" y2="44828"/>
                      <a14:foregroundMark x1="85149" y1="45977" x2="85149" y2="48276"/>
                      <a14:foregroundMark x1="85149" y1="50575" x2="85149" y2="54023"/>
                      <a14:foregroundMark x1="85149" y1="54023" x2="85149" y2="54023"/>
                      <a14:foregroundMark x1="76733" y1="54023" x2="75743" y2="55172"/>
                      <a14:foregroundMark x1="75248" y1="56322" x2="74257" y2="56322"/>
                      <a14:foregroundMark x1="74257" y1="55172" x2="74257" y2="55172"/>
                      <a14:foregroundMark x1="85149" y1="65517" x2="85149" y2="65517"/>
                      <a14:foregroundMark x1="77228" y1="64368" x2="77228" y2="64368"/>
                      <a14:foregroundMark x1="88614" y1="41379" x2="88614" y2="41379"/>
                      <a14:foregroundMark x1="90099" y1="39080" x2="90099" y2="39080"/>
                      <a14:foregroundMark x1="93069" y1="34483" x2="93069" y2="34483"/>
                      <a14:foregroundMark x1="60891" y1="42529" x2="60891" y2="42529"/>
                      <a14:foregroundMark x1="21287" y1="28736" x2="21287" y2="28736"/>
                      <a14:foregroundMark x1="4455" y1="67816" x2="4455" y2="67816"/>
                      <a14:foregroundMark x1="92574" y1="65517" x2="92574" y2="65517"/>
                      <a14:foregroundMark x1="94059" y1="65517" x2="94059" y2="65517"/>
                      <a14:foregroundMark x1="34158" y1="83908" x2="34158" y2="83908"/>
                      <a14:foregroundMark x1="38614" y1="40230" x2="38614" y2="40230"/>
                      <a14:foregroundMark x1="81683" y1="44828" x2="81683" y2="44828"/>
                      <a14:backgroundMark x1="33663" y1="81609" x2="33663" y2="81609"/>
                      <a14:backgroundMark x1="33663" y1="83908" x2="33663" y2="83908"/>
                      <a14:backgroundMark x1="35149" y1="83908" x2="35149" y2="83908"/>
                      <a14:backgroundMark x1="34653" y1="81609" x2="34653" y2="81609"/>
                      <a14:backgroundMark x1="27723" y1="52874" x2="27723" y2="52874"/>
                    </a14:backgroundRemoval>
                  </a14:imgEffect>
                </a14:imgLayer>
              </a14:imgProps>
            </a:ext>
          </a:extLst>
        </a:blip>
        <a:srcRect b="16845"/>
        <a:stretch/>
      </xdr:blipFill>
      <xdr:spPr>
        <a:xfrm>
          <a:off x="3528332" y="637154"/>
          <a:ext cx="1461596" cy="519453"/>
        </a:xfrm>
        <a:prstGeom prst="rect">
          <a:avLst/>
        </a:prstGeom>
      </xdr:spPr>
    </xdr:pic>
    <xdr:clientData/>
  </xdr:twoCellAnchor>
  <xdr:twoCellAnchor>
    <xdr:from>
      <xdr:col>3</xdr:col>
      <xdr:colOff>726281</xdr:colOff>
      <xdr:row>5</xdr:row>
      <xdr:rowOff>13096</xdr:rowOff>
    </xdr:from>
    <xdr:to>
      <xdr:col>6</xdr:col>
      <xdr:colOff>392907</xdr:colOff>
      <xdr:row>6</xdr:row>
      <xdr:rowOff>130968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47B7742-7056-4ECF-B21E-D5CFA65D6B78}"/>
            </a:ext>
          </a:extLst>
        </xdr:cNvPr>
        <xdr:cNvSpPr txBox="1"/>
      </xdr:nvSpPr>
      <xdr:spPr>
        <a:xfrm>
          <a:off x="3321844" y="1060846"/>
          <a:ext cx="1952626" cy="308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/>
            <a:t>Programa de Ahorro Sistemático</a:t>
          </a:r>
          <a:r>
            <a:rPr lang="es-MX" sz="800" b="1" baseline="0"/>
            <a:t> Integral</a:t>
          </a:r>
          <a:endParaRPr lang="es-MX" sz="800" b="1"/>
        </a:p>
      </xdr:txBody>
    </xdr:sp>
    <xdr:clientData/>
  </xdr:twoCellAnchor>
  <xdr:twoCellAnchor>
    <xdr:from>
      <xdr:col>2</xdr:col>
      <xdr:colOff>277812</xdr:colOff>
      <xdr:row>15</xdr:row>
      <xdr:rowOff>158476</xdr:rowOff>
    </xdr:from>
    <xdr:to>
      <xdr:col>3</xdr:col>
      <xdr:colOff>287337</xdr:colOff>
      <xdr:row>17</xdr:row>
      <xdr:rowOff>61638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479CCFDB-FBF9-4D66-9448-8F49C5AE6048}"/>
            </a:ext>
          </a:extLst>
        </xdr:cNvPr>
        <xdr:cNvSpPr txBox="1"/>
      </xdr:nvSpPr>
      <xdr:spPr>
        <a:xfrm>
          <a:off x="1801812" y="3245890"/>
          <a:ext cx="1073697" cy="29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tx1"/>
              </a:solidFill>
            </a:rPr>
            <a:t>FP</a:t>
          </a:r>
        </a:p>
      </xdr:txBody>
    </xdr:sp>
    <xdr:clientData/>
  </xdr:twoCellAnchor>
  <xdr:twoCellAnchor>
    <xdr:from>
      <xdr:col>6</xdr:col>
      <xdr:colOff>761193</xdr:colOff>
      <xdr:row>16</xdr:row>
      <xdr:rowOff>9109</xdr:rowOff>
    </xdr:from>
    <xdr:to>
      <xdr:col>9</xdr:col>
      <xdr:colOff>1062304</xdr:colOff>
      <xdr:row>17</xdr:row>
      <xdr:rowOff>5257</xdr:rowOff>
    </xdr:to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id="{F0FAA62D-6D7D-4409-B1AB-F41F71F4F292}"/>
            </a:ext>
          </a:extLst>
        </xdr:cNvPr>
        <xdr:cNvSpPr/>
      </xdr:nvSpPr>
      <xdr:spPr>
        <a:xfrm>
          <a:off x="5635365" y="3293592"/>
          <a:ext cx="2692215" cy="19321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257174</xdr:colOff>
      <xdr:row>2</xdr:row>
      <xdr:rowOff>52387</xdr:rowOff>
    </xdr:from>
    <xdr:ext cx="2619375" cy="8298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349FD42B-1494-4695-94AA-50C85FEF062B}"/>
                </a:ext>
              </a:extLst>
            </xdr:cNvPr>
            <xdr:cNvSpPr txBox="1"/>
          </xdr:nvSpPr>
          <xdr:spPr>
            <a:xfrm>
              <a:off x="7439024" y="433387"/>
              <a:ext cx="2619375" cy="829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2400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2400" i="0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es-MX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i="0">
                            <a:latin typeface="Cambria Math" panose="02040503050406030204" pitchFamily="18" charset="0"/>
                          </a:rPr>
                          <m:t>1−</m:t>
                        </m:r>
                        <m:d>
                          <m:dPr>
                            <m:ctrlPr>
                              <a:rPr lang="es-MX" sz="2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MX" sz="24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2400" i="0">
                                    <a:latin typeface="Cambria Math" panose="02040503050406030204" pitchFamily="18" charset="0"/>
                                  </a:rPr>
                                  <m:t>90</m:t>
                                </m:r>
                              </m:num>
                              <m:den>
                                <m:r>
                                  <a:rPr lang="es-MX" sz="2400" i="1">
                                    <a:latin typeface="Cambria Math" panose="02040503050406030204" pitchFamily="18" charset="0"/>
                                  </a:rPr>
                                  <m:t>𝐹𝑃</m:t>
                                </m:r>
                              </m:den>
                            </m:f>
                          </m:e>
                        </m:d>
                      </m:e>
                    </m:d>
                    <m:r>
                      <a:rPr lang="es-MX" sz="2400" i="0">
                        <a:latin typeface="Cambria Math" panose="02040503050406030204" pitchFamily="18" charset="0"/>
                      </a:rPr>
                      <m:t>×100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349FD42B-1494-4695-94AA-50C85FEF062B}"/>
                </a:ext>
              </a:extLst>
            </xdr:cNvPr>
            <xdr:cNvSpPr txBox="1"/>
          </xdr:nvSpPr>
          <xdr:spPr>
            <a:xfrm>
              <a:off x="7439024" y="433387"/>
              <a:ext cx="2619375" cy="829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2400" i="0">
                  <a:latin typeface="Cambria Math" panose="02040503050406030204" pitchFamily="18" charset="0"/>
                </a:rPr>
                <a:t>1/4 [1−(90/𝐹𝑃)]×100</a:t>
              </a:r>
              <a:endParaRPr lang="es-MX" sz="2400"/>
            </a:p>
          </xdr:txBody>
        </xdr:sp>
      </mc:Fallback>
    </mc:AlternateContent>
    <xdr:clientData/>
  </xdr:oneCellAnchor>
  <xdr:oneCellAnchor>
    <xdr:from>
      <xdr:col>8</xdr:col>
      <xdr:colOff>295274</xdr:colOff>
      <xdr:row>11</xdr:row>
      <xdr:rowOff>42862</xdr:rowOff>
    </xdr:from>
    <xdr:ext cx="4191001" cy="8298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48841C5-2E81-4B11-8104-25CBB9E65AB8}"/>
                </a:ext>
              </a:extLst>
            </xdr:cNvPr>
            <xdr:cNvSpPr txBox="1"/>
          </xdr:nvSpPr>
          <xdr:spPr>
            <a:xfrm>
              <a:off x="6715124" y="2138362"/>
              <a:ext cx="4191001" cy="829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s-MX" sz="2400" b="0" i="0">
                            <a:latin typeface="Cambria Math" panose="02040503050406030204" pitchFamily="18" charset="0"/>
                          </a:rPr>
                          <m:t>5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es-MX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s-MX" sz="2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MX" sz="24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2400" i="0">
                                    <a:latin typeface="Cambria Math" panose="02040503050406030204" pitchFamily="18" charset="0"/>
                                  </a:rPr>
                                  <m:t>90</m:t>
                                </m:r>
                              </m:num>
                              <m:den>
                                <m:r>
                                  <a:rPr lang="es-MX" sz="2400" i="1">
                                    <a:latin typeface="Cambria Math" panose="02040503050406030204" pitchFamily="18" charset="0"/>
                                  </a:rPr>
                                  <m:t>𝐹𝑃</m:t>
                                </m:r>
                              </m:den>
                            </m:f>
                          </m:e>
                        </m:d>
                        <m:r>
                          <a:rPr lang="es-MX" sz="2400" b="0" i="0">
                            <a:latin typeface="Cambria Math" panose="02040503050406030204" pitchFamily="18" charset="0"/>
                          </a:rPr>
                          <m:t> −1</m:t>
                        </m:r>
                      </m:e>
                    </m:d>
                    <m:r>
                      <a:rPr lang="es-MX" sz="2400" i="0">
                        <a:latin typeface="Cambria Math" panose="02040503050406030204" pitchFamily="18" charset="0"/>
                      </a:rPr>
                      <m:t>×100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48841C5-2E81-4B11-8104-25CBB9E65AB8}"/>
                </a:ext>
              </a:extLst>
            </xdr:cNvPr>
            <xdr:cNvSpPr txBox="1"/>
          </xdr:nvSpPr>
          <xdr:spPr>
            <a:xfrm>
              <a:off x="6715124" y="2138362"/>
              <a:ext cx="4191001" cy="829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2400" b="0" i="0">
                  <a:latin typeface="Cambria Math" panose="02040503050406030204" pitchFamily="18" charset="0"/>
                </a:rPr>
                <a:t>3/5 </a:t>
              </a:r>
              <a:r>
                <a:rPr lang="es-MX" sz="2400" i="0">
                  <a:latin typeface="Cambria Math" panose="02040503050406030204" pitchFamily="18" charset="0"/>
                </a:rPr>
                <a:t>[(90/𝐹𝑃)</a:t>
              </a:r>
              <a:r>
                <a:rPr lang="es-MX" sz="2400" b="0" i="0">
                  <a:latin typeface="Cambria Math" panose="02040503050406030204" pitchFamily="18" charset="0"/>
                </a:rPr>
                <a:t>  −1]</a:t>
              </a:r>
              <a:r>
                <a:rPr lang="es-MX" sz="2400" i="0">
                  <a:latin typeface="Cambria Math" panose="02040503050406030204" pitchFamily="18" charset="0"/>
                </a:rPr>
                <a:t>×100</a:t>
              </a:r>
              <a:endParaRPr lang="es-MX" sz="2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rive.cre.gob.mx/Drive/ObtenerAcuerdoAnexo/?id=11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5" zoomScaleNormal="85" workbookViewId="0">
      <selection activeCell="H22" sqref="H22:M22"/>
    </sheetView>
  </sheetViews>
  <sheetFormatPr baseColWidth="10" defaultRowHeight="15" x14ac:dyDescent="0.25"/>
  <cols>
    <col min="1" max="1" width="18.85546875" customWidth="1"/>
    <col min="2" max="2" width="18.85546875" bestFit="1" customWidth="1"/>
    <col min="3" max="3" width="11.85546875" bestFit="1" customWidth="1"/>
    <col min="4" max="4" width="13.85546875" customWidth="1"/>
    <col min="5" max="5" width="13.5703125" customWidth="1"/>
    <col min="7" max="7" width="2.140625" customWidth="1"/>
    <col min="8" max="8" width="17.5703125" customWidth="1"/>
    <col min="9" max="9" width="10.28515625" bestFit="1" customWidth="1"/>
    <col min="10" max="10" width="14.42578125" customWidth="1"/>
    <col min="11" max="12" width="14.85546875" customWidth="1"/>
    <col min="13" max="13" width="10.5703125" customWidth="1"/>
    <col min="14" max="14" width="9" bestFit="1" customWidth="1"/>
    <col min="15" max="15" width="8" bestFit="1" customWidth="1"/>
    <col min="16" max="16" width="9.5703125" customWidth="1"/>
  </cols>
  <sheetData>
    <row r="1" spans="1:17" x14ac:dyDescent="0.25">
      <c r="B1" t="s">
        <v>0</v>
      </c>
    </row>
    <row r="2" spans="1:17" x14ac:dyDescent="0.25">
      <c r="B2" s="2" t="s">
        <v>1</v>
      </c>
      <c r="C2" s="43" t="s">
        <v>2</v>
      </c>
      <c r="D2" t="s">
        <v>56</v>
      </c>
      <c r="E2" s="43" t="s">
        <v>57</v>
      </c>
      <c r="J2" t="s">
        <v>22</v>
      </c>
      <c r="K2" t="s">
        <v>23</v>
      </c>
      <c r="L2" t="s">
        <v>24</v>
      </c>
      <c r="M2" t="s">
        <v>107</v>
      </c>
    </row>
    <row r="3" spans="1:17" x14ac:dyDescent="0.25">
      <c r="D3" t="s">
        <v>4</v>
      </c>
      <c r="E3" s="1" t="s">
        <v>5</v>
      </c>
      <c r="F3" s="1" t="s">
        <v>6</v>
      </c>
      <c r="H3" t="s">
        <v>25</v>
      </c>
      <c r="I3" t="s">
        <v>26</v>
      </c>
      <c r="J3" s="7">
        <v>4675</v>
      </c>
      <c r="K3" s="7">
        <v>4583</v>
      </c>
      <c r="L3">
        <f>J3-K3</f>
        <v>92</v>
      </c>
      <c r="M3">
        <f>L3*80</f>
        <v>7360</v>
      </c>
    </row>
    <row r="4" spans="1:17" x14ac:dyDescent="0.25">
      <c r="A4" s="2" t="s">
        <v>14</v>
      </c>
      <c r="B4" t="s">
        <v>15</v>
      </c>
      <c r="C4" s="3">
        <v>43536</v>
      </c>
      <c r="D4" s="3">
        <v>43555</v>
      </c>
      <c r="E4">
        <f>D4-C4</f>
        <v>19</v>
      </c>
      <c r="F4" s="4">
        <f>(E4/E6)</f>
        <v>0.65517241379310343</v>
      </c>
      <c r="H4" t="s">
        <v>28</v>
      </c>
      <c r="I4" t="s">
        <v>29</v>
      </c>
      <c r="J4" s="229">
        <v>20</v>
      </c>
      <c r="K4" s="229"/>
      <c r="M4">
        <f>J4</f>
        <v>20</v>
      </c>
      <c r="O4">
        <f>M3/(24*E6*0.57)</f>
        <v>18.552127445049408</v>
      </c>
    </row>
    <row r="5" spans="1:17" x14ac:dyDescent="0.25">
      <c r="B5" t="s">
        <v>17</v>
      </c>
      <c r="C5" s="3">
        <v>43565</v>
      </c>
      <c r="E5">
        <f>C5-D4</f>
        <v>10</v>
      </c>
      <c r="F5" s="4">
        <f>E5/E6</f>
        <v>0.34482758620689657</v>
      </c>
      <c r="H5" t="s">
        <v>30</v>
      </c>
      <c r="I5" t="s">
        <v>31</v>
      </c>
      <c r="J5" s="7">
        <v>2577</v>
      </c>
      <c r="K5" s="7">
        <v>2516</v>
      </c>
      <c r="L5">
        <f>J5-K5</f>
        <v>61</v>
      </c>
      <c r="M5">
        <f>L5*80</f>
        <v>4880</v>
      </c>
    </row>
    <row r="6" spans="1:17" x14ac:dyDescent="0.25">
      <c r="E6">
        <f>E5+E4</f>
        <v>29</v>
      </c>
      <c r="F6" s="6">
        <f>F4+F5</f>
        <v>1</v>
      </c>
      <c r="O6">
        <f>MIN(M4,O4)</f>
        <v>18.552127445049408</v>
      </c>
    </row>
    <row r="7" spans="1:17" x14ac:dyDescent="0.25">
      <c r="H7" t="s">
        <v>30</v>
      </c>
      <c r="I7" s="8">
        <f>(COS(ATAN(L5/L3)))*100</f>
        <v>83.344138268197625</v>
      </c>
      <c r="J7" t="s">
        <v>32</v>
      </c>
      <c r="Q7" s="5"/>
    </row>
    <row r="8" spans="1:17" ht="15.75" thickBot="1" x14ac:dyDescent="0.3"/>
    <row r="9" spans="1:17" ht="15.75" thickBot="1" x14ac:dyDescent="0.3">
      <c r="A9" t="s">
        <v>33</v>
      </c>
      <c r="C9" t="s">
        <v>34</v>
      </c>
      <c r="D9" t="s">
        <v>18</v>
      </c>
      <c r="E9" t="s">
        <v>27</v>
      </c>
      <c r="F9" t="s">
        <v>35</v>
      </c>
      <c r="H9" s="62"/>
      <c r="I9" s="63"/>
      <c r="J9" s="63"/>
      <c r="K9" s="63"/>
      <c r="L9" s="63"/>
      <c r="M9" s="63" t="s">
        <v>3</v>
      </c>
      <c r="N9" s="63"/>
      <c r="O9" s="63"/>
      <c r="P9" s="64"/>
    </row>
    <row r="10" spans="1:17" x14ac:dyDescent="0.25">
      <c r="A10" s="9" t="s">
        <v>10</v>
      </c>
      <c r="B10" s="10" t="s">
        <v>16</v>
      </c>
      <c r="C10" s="11"/>
      <c r="D10" s="12"/>
      <c r="E10" s="12"/>
      <c r="F10" s="13">
        <f>M11</f>
        <v>430.27</v>
      </c>
      <c r="H10" s="47" t="s">
        <v>2</v>
      </c>
      <c r="I10" s="40"/>
      <c r="J10" s="56" t="s">
        <v>7</v>
      </c>
      <c r="K10" s="72" t="s">
        <v>8</v>
      </c>
      <c r="L10" s="61" t="s">
        <v>9</v>
      </c>
      <c r="M10" s="56" t="s">
        <v>10</v>
      </c>
      <c r="N10" s="56" t="s">
        <v>11</v>
      </c>
      <c r="O10" s="61" t="s">
        <v>12</v>
      </c>
      <c r="P10" s="73" t="s">
        <v>13</v>
      </c>
    </row>
    <row r="11" spans="1:17" x14ac:dyDescent="0.25">
      <c r="A11" s="74" t="s">
        <v>36</v>
      </c>
      <c r="B11" s="69" t="s">
        <v>37</v>
      </c>
      <c r="C11" s="15"/>
      <c r="D11" s="67">
        <f>O6*F4</f>
        <v>12.154842119170301</v>
      </c>
      <c r="E11" s="67">
        <f>O6*F5</f>
        <v>6.3972853258791069</v>
      </c>
      <c r="F11" s="16">
        <f>D11+E11</f>
        <v>18.552127445049408</v>
      </c>
      <c r="H11" s="47"/>
      <c r="I11" s="40" t="s">
        <v>16</v>
      </c>
      <c r="J11" s="55"/>
      <c r="K11" s="55"/>
      <c r="L11" s="55"/>
      <c r="M11" s="55">
        <f>L35</f>
        <v>430.27</v>
      </c>
      <c r="N11" s="55"/>
      <c r="O11" s="55"/>
      <c r="P11" s="57"/>
    </row>
    <row r="12" spans="1:17" x14ac:dyDescent="0.25">
      <c r="A12" s="17"/>
      <c r="B12" s="18" t="s">
        <v>38</v>
      </c>
      <c r="C12" s="19"/>
      <c r="D12" s="20">
        <f>D11*K13</f>
        <v>1172.7734590777982</v>
      </c>
      <c r="E12" s="20">
        <f>E11*K18</f>
        <v>617.24918898831504</v>
      </c>
      <c r="F12" s="21">
        <f>D12+E12</f>
        <v>1790.0226480661131</v>
      </c>
      <c r="H12" s="71" t="s">
        <v>109</v>
      </c>
      <c r="I12" s="40" t="s">
        <v>19</v>
      </c>
      <c r="J12" s="66">
        <v>0.16628999999999999</v>
      </c>
      <c r="K12" s="55"/>
      <c r="L12" s="66">
        <f>M38</f>
        <v>7.8002717391304341E-3</v>
      </c>
      <c r="M12" s="55"/>
      <c r="N12" s="66">
        <f>M41</f>
        <v>5.3994565217391306E-3</v>
      </c>
      <c r="O12" s="65">
        <f>M39</f>
        <v>1.1926209239130436</v>
      </c>
      <c r="P12" s="57"/>
    </row>
    <row r="13" spans="1:17" x14ac:dyDescent="0.25">
      <c r="A13" s="14" t="s">
        <v>39</v>
      </c>
      <c r="B13" s="69" t="s">
        <v>26</v>
      </c>
      <c r="C13" s="22">
        <f>M3/E6</f>
        <v>253.79310344827587</v>
      </c>
      <c r="D13" s="68">
        <f>C13*E4</f>
        <v>4822.0689655172418</v>
      </c>
      <c r="E13" s="68">
        <f>C13*E5</f>
        <v>2537.9310344827586</v>
      </c>
      <c r="F13" s="23">
        <f>E13+D13</f>
        <v>7360</v>
      </c>
      <c r="H13" s="71"/>
      <c r="I13" s="40" t="s">
        <v>20</v>
      </c>
      <c r="J13" s="55"/>
      <c r="K13" s="55">
        <f>M36</f>
        <v>96.486112084346246</v>
      </c>
      <c r="L13" s="55"/>
      <c r="M13" s="55"/>
      <c r="N13" s="55"/>
      <c r="O13" s="55"/>
      <c r="P13" s="57">
        <f>M40</f>
        <v>305.66674392656358</v>
      </c>
    </row>
    <row r="14" spans="1:17" x14ac:dyDescent="0.25">
      <c r="A14" s="17"/>
      <c r="B14" s="18" t="s">
        <v>38</v>
      </c>
      <c r="C14" s="19"/>
      <c r="D14" s="20">
        <f>D13*J12</f>
        <v>801.86184827586214</v>
      </c>
      <c r="E14" s="20">
        <f>E13*J17</f>
        <v>422.03255172413793</v>
      </c>
      <c r="F14" s="24">
        <f>E14+D14</f>
        <v>1223.8944000000001</v>
      </c>
      <c r="H14" s="71"/>
      <c r="I14" s="40"/>
      <c r="J14" s="56"/>
      <c r="K14" s="56"/>
      <c r="L14" s="56"/>
      <c r="M14" s="56"/>
      <c r="N14" s="56"/>
      <c r="O14" s="56"/>
      <c r="P14" s="58"/>
    </row>
    <row r="15" spans="1:17" x14ac:dyDescent="0.25">
      <c r="A15" s="14" t="s">
        <v>9</v>
      </c>
      <c r="B15" s="69" t="s">
        <v>26</v>
      </c>
      <c r="C15" s="22">
        <f>C13</f>
        <v>253.79310344827587</v>
      </c>
      <c r="D15" s="68">
        <f>D13</f>
        <v>4822.0689655172418</v>
      </c>
      <c r="E15" s="68">
        <f>E13</f>
        <v>2537.9310344827586</v>
      </c>
      <c r="F15" s="23">
        <f>E15+D15</f>
        <v>7360</v>
      </c>
      <c r="H15" s="71"/>
      <c r="I15" s="40"/>
      <c r="J15" s="56" t="s">
        <v>21</v>
      </c>
      <c r="K15" s="56" t="s">
        <v>8</v>
      </c>
      <c r="L15" s="56" t="s">
        <v>9</v>
      </c>
      <c r="M15" s="56" t="s">
        <v>10</v>
      </c>
      <c r="N15" s="56" t="s">
        <v>11</v>
      </c>
      <c r="O15" s="56" t="s">
        <v>12</v>
      </c>
      <c r="P15" s="58" t="s">
        <v>13</v>
      </c>
    </row>
    <row r="16" spans="1:17" x14ac:dyDescent="0.25">
      <c r="A16" s="17"/>
      <c r="B16" s="18" t="s">
        <v>38</v>
      </c>
      <c r="C16" s="19"/>
      <c r="D16" s="20">
        <f>D15*L12</f>
        <v>37.613448275862069</v>
      </c>
      <c r="E16" s="20">
        <f>E15*L17</f>
        <v>19.796551724137927</v>
      </c>
      <c r="F16" s="24">
        <f>E16+D16</f>
        <v>57.41</v>
      </c>
      <c r="H16" s="71"/>
      <c r="I16" s="40" t="s">
        <v>16</v>
      </c>
      <c r="J16" s="55"/>
      <c r="K16" s="55"/>
      <c r="L16" s="55"/>
      <c r="M16" s="55">
        <f>M11</f>
        <v>430.27</v>
      </c>
      <c r="N16" s="55"/>
      <c r="O16" s="55"/>
      <c r="P16" s="57"/>
    </row>
    <row r="17" spans="1:16" x14ac:dyDescent="0.25">
      <c r="A17" s="25" t="s">
        <v>12</v>
      </c>
      <c r="B17" s="69" t="s">
        <v>26</v>
      </c>
      <c r="C17" s="22">
        <f>M3/E6</f>
        <v>253.79310344827587</v>
      </c>
      <c r="D17" s="68">
        <f>C17*E4</f>
        <v>4822.0689655172418</v>
      </c>
      <c r="E17" s="68">
        <f>C17*E5</f>
        <v>2537.9310344827586</v>
      </c>
      <c r="F17" s="26">
        <f>E17+D17</f>
        <v>7360</v>
      </c>
      <c r="H17" s="71" t="s">
        <v>110</v>
      </c>
      <c r="I17" s="40" t="s">
        <v>19</v>
      </c>
      <c r="J17" s="66">
        <f>J12</f>
        <v>0.16628999999999999</v>
      </c>
      <c r="K17" s="55"/>
      <c r="L17" s="66">
        <f>L12</f>
        <v>7.8002717391304341E-3</v>
      </c>
      <c r="M17" s="55"/>
      <c r="N17" s="66">
        <f>N12</f>
        <v>5.3994565217391306E-3</v>
      </c>
      <c r="O17" s="65">
        <f>O12</f>
        <v>1.1926209239130436</v>
      </c>
      <c r="P17" s="57"/>
    </row>
    <row r="18" spans="1:16" ht="15.75" thickBot="1" x14ac:dyDescent="0.3">
      <c r="A18" s="27"/>
      <c r="B18" s="18" t="s">
        <v>38</v>
      </c>
      <c r="C18" s="18"/>
      <c r="D18" s="20">
        <f>D17*O12</f>
        <v>5750.9003448275871</v>
      </c>
      <c r="E18" s="20">
        <f>E17*O17</f>
        <v>3026.7896551724143</v>
      </c>
      <c r="F18" s="28">
        <f>D18+E18</f>
        <v>8777.6900000000023</v>
      </c>
      <c r="H18" s="51"/>
      <c r="I18" s="52" t="s">
        <v>20</v>
      </c>
      <c r="J18" s="59"/>
      <c r="K18" s="55">
        <f>K13</f>
        <v>96.486112084346246</v>
      </c>
      <c r="L18" s="59"/>
      <c r="M18" s="59"/>
      <c r="N18" s="59"/>
      <c r="O18" s="59"/>
      <c r="P18" s="57">
        <f>P13</f>
        <v>305.66674392656358</v>
      </c>
    </row>
    <row r="19" spans="1:16" x14ac:dyDescent="0.25">
      <c r="A19" s="74" t="s">
        <v>13</v>
      </c>
      <c r="B19" s="70" t="s">
        <v>37</v>
      </c>
      <c r="C19" s="15"/>
      <c r="D19" s="68">
        <f>D11</f>
        <v>12.154842119170301</v>
      </c>
      <c r="E19" s="68">
        <f>E11</f>
        <v>6.3972853258791069</v>
      </c>
      <c r="F19" s="26">
        <f>F11</f>
        <v>18.552127445049408</v>
      </c>
    </row>
    <row r="20" spans="1:16" x14ac:dyDescent="0.25">
      <c r="A20" s="17"/>
      <c r="B20" s="29" t="s">
        <v>38</v>
      </c>
      <c r="C20" s="19"/>
      <c r="D20" s="30">
        <f>D19*P13</f>
        <v>3715.3310135082379</v>
      </c>
      <c r="E20" s="30">
        <f>E19*P18</f>
        <v>1955.4373755306519</v>
      </c>
      <c r="F20" s="24">
        <f>D20+E20</f>
        <v>5670.7683890388898</v>
      </c>
    </row>
    <row r="21" spans="1:16" ht="15.75" thickBot="1" x14ac:dyDescent="0.3">
      <c r="A21" s="14" t="s">
        <v>40</v>
      </c>
      <c r="B21" s="69" t="s">
        <v>26</v>
      </c>
      <c r="C21" s="22">
        <f>C13</f>
        <v>253.79310344827587</v>
      </c>
      <c r="D21" s="68">
        <f>D13</f>
        <v>4822.0689655172418</v>
      </c>
      <c r="E21" s="68">
        <f>E13</f>
        <v>2537.9310344827586</v>
      </c>
      <c r="F21" s="23">
        <f>E21+D21</f>
        <v>7360</v>
      </c>
      <c r="H21" s="35"/>
    </row>
    <row r="22" spans="1:16" ht="15.75" thickBot="1" x14ac:dyDescent="0.3">
      <c r="A22" s="17"/>
      <c r="B22" s="18" t="s">
        <v>38</v>
      </c>
      <c r="C22" s="19"/>
      <c r="D22" s="20">
        <f>D21*N12</f>
        <v>26.036551724137933</v>
      </c>
      <c r="E22" s="20">
        <f>E21*N17</f>
        <v>13.703448275862069</v>
      </c>
      <c r="F22" s="24">
        <f>E22+D22</f>
        <v>39.74</v>
      </c>
      <c r="H22" s="230" t="s">
        <v>108</v>
      </c>
      <c r="I22" s="231"/>
      <c r="J22" s="232" t="s">
        <v>119</v>
      </c>
      <c r="K22" s="232"/>
      <c r="L22" s="232"/>
      <c r="M22" s="233"/>
    </row>
    <row r="23" spans="1:16" x14ac:dyDescent="0.25">
      <c r="C23" s="2" t="s">
        <v>55</v>
      </c>
    </row>
    <row r="24" spans="1:16" x14ac:dyDescent="0.25">
      <c r="A24" s="162" t="s">
        <v>10</v>
      </c>
      <c r="B24" s="163">
        <f>F10</f>
        <v>430.27</v>
      </c>
      <c r="C24" s="75">
        <v>645.84</v>
      </c>
      <c r="D24" t="s">
        <v>41</v>
      </c>
      <c r="E24" t="s">
        <v>42</v>
      </c>
    </row>
    <row r="25" spans="1:16" x14ac:dyDescent="0.25">
      <c r="A25" s="164" t="s">
        <v>36</v>
      </c>
      <c r="B25" s="165">
        <f>F12</f>
        <v>1790.0226480661131</v>
      </c>
      <c r="C25" s="75">
        <v>953.33</v>
      </c>
      <c r="D25" t="s">
        <v>43</v>
      </c>
      <c r="E25" t="s">
        <v>44</v>
      </c>
    </row>
    <row r="26" spans="1:16" x14ac:dyDescent="0.25">
      <c r="A26" s="166" t="s">
        <v>39</v>
      </c>
      <c r="B26" s="165">
        <f>F14</f>
        <v>1223.8944000000001</v>
      </c>
      <c r="C26" s="5">
        <v>1036.27</v>
      </c>
    </row>
    <row r="27" spans="1:16" x14ac:dyDescent="0.25">
      <c r="A27" s="166" t="s">
        <v>9</v>
      </c>
      <c r="B27" s="165">
        <f>F16</f>
        <v>57.41</v>
      </c>
      <c r="C27" s="5">
        <v>45.12</v>
      </c>
      <c r="H27" t="s">
        <v>115</v>
      </c>
      <c r="I27">
        <v>7360</v>
      </c>
      <c r="J27" t="s">
        <v>117</v>
      </c>
      <c r="M27">
        <f>1223.96/M3</f>
        <v>0.16629891304347827</v>
      </c>
    </row>
    <row r="28" spans="1:16" x14ac:dyDescent="0.25">
      <c r="A28" s="166" t="s">
        <v>45</v>
      </c>
      <c r="B28" s="165">
        <f>F18</f>
        <v>8777.6900000000023</v>
      </c>
      <c r="C28" s="5">
        <v>8418.33</v>
      </c>
      <c r="D28" t="s">
        <v>46</v>
      </c>
      <c r="E28" s="34">
        <f>3/5*((90/I7)-1)</f>
        <v>4.7915991718943382E-2</v>
      </c>
      <c r="I28">
        <v>4880</v>
      </c>
      <c r="J28" t="s">
        <v>118</v>
      </c>
      <c r="M28">
        <f>57.41/M3</f>
        <v>7.8002717391304341E-3</v>
      </c>
    </row>
    <row r="29" spans="1:16" x14ac:dyDescent="0.25">
      <c r="A29" s="164" t="s">
        <v>13</v>
      </c>
      <c r="B29" s="165">
        <f>F20</f>
        <v>5670.7683890388898</v>
      </c>
      <c r="C29" s="75">
        <v>4615.1899999999996</v>
      </c>
      <c r="E29" s="34">
        <f>ROUND(E28,3)</f>
        <v>4.8000000000000001E-2</v>
      </c>
      <c r="H29" t="s">
        <v>116</v>
      </c>
      <c r="I29">
        <v>18.552099999999999</v>
      </c>
      <c r="J29" t="s">
        <v>117</v>
      </c>
    </row>
    <row r="30" spans="1:16" ht="15.75" thickBot="1" x14ac:dyDescent="0.3">
      <c r="A30" s="166" t="s">
        <v>40</v>
      </c>
      <c r="B30" s="165">
        <f>F22</f>
        <v>39.74</v>
      </c>
      <c r="C30" s="5">
        <v>35.299999999999997</v>
      </c>
      <c r="I30" s="35"/>
    </row>
    <row r="31" spans="1:16" x14ac:dyDescent="0.25">
      <c r="A31" s="166" t="s">
        <v>47</v>
      </c>
      <c r="B31" s="167">
        <f>SUM(B24:B30)</f>
        <v>17989.795437105007</v>
      </c>
      <c r="C31" s="44">
        <f>SUM(C24:C30)</f>
        <v>15749.379999999997</v>
      </c>
      <c r="H31" s="234" t="s">
        <v>111</v>
      </c>
      <c r="I31" s="235"/>
      <c r="J31" s="235"/>
      <c r="K31" s="235"/>
      <c r="L31" s="235"/>
      <c r="M31" s="235"/>
      <c r="N31" s="236"/>
    </row>
    <row r="32" spans="1:16" x14ac:dyDescent="0.25">
      <c r="A32" s="166" t="s">
        <v>48</v>
      </c>
      <c r="B32" s="168">
        <v>15749.38</v>
      </c>
      <c r="D32" s="35"/>
      <c r="E32" s="35"/>
      <c r="H32" s="237"/>
      <c r="I32" s="238"/>
      <c r="J32" s="238"/>
      <c r="K32" s="238"/>
      <c r="L32" s="238"/>
      <c r="M32" s="238"/>
      <c r="N32" s="239"/>
    </row>
    <row r="33" spans="1:14" ht="15.75" thickBot="1" x14ac:dyDescent="0.3">
      <c r="A33" s="169" t="s">
        <v>24</v>
      </c>
      <c r="B33" s="170">
        <f>B32-B31</f>
        <v>-2240.4154371050081</v>
      </c>
      <c r="H33" s="240"/>
      <c r="I33" s="241"/>
      <c r="J33" s="241"/>
      <c r="K33" s="241"/>
      <c r="L33" s="241"/>
      <c r="M33" s="241"/>
      <c r="N33" s="242"/>
    </row>
    <row r="34" spans="1:14" ht="15.75" thickBot="1" x14ac:dyDescent="0.3">
      <c r="B34" s="39"/>
      <c r="H34" s="183" t="s">
        <v>33</v>
      </c>
      <c r="I34" s="184" t="s">
        <v>38</v>
      </c>
      <c r="J34" s="184" t="s">
        <v>20</v>
      </c>
      <c r="K34" s="184" t="s">
        <v>19</v>
      </c>
      <c r="L34" s="184" t="s">
        <v>112</v>
      </c>
      <c r="M34" s="185" t="s">
        <v>113</v>
      </c>
      <c r="N34" s="186"/>
    </row>
    <row r="35" spans="1:14" ht="15.75" thickBot="1" x14ac:dyDescent="0.3">
      <c r="B35" s="39"/>
      <c r="H35" s="187" t="s">
        <v>10</v>
      </c>
      <c r="I35" s="188">
        <v>430.27</v>
      </c>
      <c r="J35" s="188">
        <v>0</v>
      </c>
      <c r="K35" s="188">
        <v>0</v>
      </c>
      <c r="L35" s="189">
        <v>430.27</v>
      </c>
      <c r="M35" s="230"/>
      <c r="N35" s="243"/>
    </row>
    <row r="36" spans="1:14" x14ac:dyDescent="0.25">
      <c r="A36" s="171" t="s">
        <v>49</v>
      </c>
      <c r="B36" s="172"/>
      <c r="C36" s="54" t="s">
        <v>50</v>
      </c>
      <c r="D36" s="45"/>
      <c r="E36" s="46"/>
      <c r="H36" s="187" t="s">
        <v>36</v>
      </c>
      <c r="I36" s="188">
        <v>0</v>
      </c>
      <c r="J36" s="188">
        <v>1790.02</v>
      </c>
      <c r="K36" s="188">
        <v>0</v>
      </c>
      <c r="L36" s="189">
        <v>1790.02</v>
      </c>
      <c r="M36" s="223">
        <f>J36/I29</f>
        <v>96.486112084346246</v>
      </c>
      <c r="N36" s="224"/>
    </row>
    <row r="37" spans="1:14" x14ac:dyDescent="0.25">
      <c r="A37" s="173" t="s">
        <v>47</v>
      </c>
      <c r="B37" s="174">
        <f>B31</f>
        <v>17989.795437105007</v>
      </c>
      <c r="C37" s="47" t="s">
        <v>51</v>
      </c>
      <c r="D37" s="40"/>
      <c r="E37" s="48">
        <f>B32</f>
        <v>15749.38</v>
      </c>
      <c r="H37" s="187" t="s">
        <v>39</v>
      </c>
      <c r="I37" s="188">
        <v>0</v>
      </c>
      <c r="J37" s="188">
        <v>0</v>
      </c>
      <c r="K37" s="188">
        <v>1223.96</v>
      </c>
      <c r="L37" s="189">
        <v>1223.96</v>
      </c>
      <c r="M37" s="225">
        <f>K37/I27</f>
        <v>0.16629891304347827</v>
      </c>
      <c r="N37" s="226"/>
    </row>
    <row r="38" spans="1:14" x14ac:dyDescent="0.25">
      <c r="A38" s="173" t="s">
        <v>52</v>
      </c>
      <c r="B38" s="174">
        <f>B37*0.02</f>
        <v>359.79590874210015</v>
      </c>
      <c r="C38" s="47" t="s">
        <v>52</v>
      </c>
      <c r="D38" s="40"/>
      <c r="E38" s="49">
        <f>E37*0.02</f>
        <v>314.98759999999999</v>
      </c>
      <c r="H38" s="190" t="s">
        <v>9</v>
      </c>
      <c r="I38" s="188">
        <v>0</v>
      </c>
      <c r="J38" s="188">
        <v>0</v>
      </c>
      <c r="K38" s="188">
        <v>57.41</v>
      </c>
      <c r="L38" s="189">
        <v>57.41</v>
      </c>
      <c r="M38" s="225">
        <f>K38/I27</f>
        <v>7.8002717391304341E-3</v>
      </c>
      <c r="N38" s="226"/>
    </row>
    <row r="39" spans="1:14" x14ac:dyDescent="0.25">
      <c r="A39" s="173" t="s">
        <v>30</v>
      </c>
      <c r="B39" s="174">
        <f>SUM(B37:B38)*E29</f>
        <v>880.78038460066114</v>
      </c>
      <c r="C39" s="47" t="s">
        <v>30</v>
      </c>
      <c r="D39" s="40"/>
      <c r="E39" s="50">
        <f>SUM(E37:E38)*(E29)</f>
        <v>771.08964479999997</v>
      </c>
      <c r="F39" s="41"/>
      <c r="H39" s="190" t="s">
        <v>12</v>
      </c>
      <c r="I39" s="188">
        <v>0</v>
      </c>
      <c r="J39" s="188">
        <v>0</v>
      </c>
      <c r="K39" s="188">
        <v>8777.69</v>
      </c>
      <c r="L39" s="189">
        <v>8777.69</v>
      </c>
      <c r="M39" s="227">
        <f>K39/I27</f>
        <v>1.1926209239130436</v>
      </c>
      <c r="N39" s="228"/>
    </row>
    <row r="40" spans="1:14" x14ac:dyDescent="0.25">
      <c r="A40" s="173" t="s">
        <v>53</v>
      </c>
      <c r="B40" s="174">
        <f>SUM(B37:B39)</f>
        <v>19230.371730447769</v>
      </c>
      <c r="C40" s="47" t="s">
        <v>53</v>
      </c>
      <c r="D40" s="40"/>
      <c r="E40" s="48">
        <f>SUM(E37:E39)</f>
        <v>16835.4572448</v>
      </c>
      <c r="F40" s="42"/>
      <c r="H40" s="190" t="s">
        <v>13</v>
      </c>
      <c r="I40" s="188">
        <v>0</v>
      </c>
      <c r="J40" s="188">
        <v>5670.76</v>
      </c>
      <c r="K40" s="188">
        <v>0</v>
      </c>
      <c r="L40" s="189">
        <v>5670.76</v>
      </c>
      <c r="M40" s="227">
        <f>J40/I29</f>
        <v>305.66674392656358</v>
      </c>
      <c r="N40" s="228"/>
    </row>
    <row r="41" spans="1:14" ht="15.75" thickBot="1" x14ac:dyDescent="0.3">
      <c r="A41" s="173" t="s">
        <v>54</v>
      </c>
      <c r="B41" s="174">
        <f>B40*0.16</f>
        <v>3076.859476871643</v>
      </c>
      <c r="C41" s="47" t="s">
        <v>54</v>
      </c>
      <c r="D41" s="40"/>
      <c r="E41" s="48">
        <f>E40*0.16</f>
        <v>2693.673159168</v>
      </c>
      <c r="H41" s="190" t="s">
        <v>114</v>
      </c>
      <c r="I41" s="188">
        <v>0</v>
      </c>
      <c r="J41" s="188">
        <v>0</v>
      </c>
      <c r="K41" s="188">
        <v>39.74</v>
      </c>
      <c r="L41" s="189">
        <v>39.74</v>
      </c>
      <c r="M41" s="219">
        <f>K41/I27</f>
        <v>5.3994565217391306E-3</v>
      </c>
      <c r="N41" s="220"/>
    </row>
    <row r="42" spans="1:14" ht="16.5" thickBot="1" x14ac:dyDescent="0.3">
      <c r="A42" s="175" t="s">
        <v>35</v>
      </c>
      <c r="B42" s="176">
        <f>SUM(B40:B41)</f>
        <v>22307.231207319412</v>
      </c>
      <c r="C42" s="51" t="s">
        <v>35</v>
      </c>
      <c r="D42" s="52"/>
      <c r="E42" s="53">
        <f>SUM(E40:E41)</f>
        <v>19529.130403968</v>
      </c>
      <c r="H42" s="191" t="s">
        <v>35</v>
      </c>
      <c r="I42" s="192">
        <v>430.27</v>
      </c>
      <c r="J42" s="192">
        <v>7460.78</v>
      </c>
      <c r="K42" s="192">
        <v>10098.799999999999</v>
      </c>
      <c r="L42" s="193">
        <v>17989.849999999999</v>
      </c>
      <c r="M42" s="221"/>
      <c r="N42" s="222"/>
    </row>
    <row r="43" spans="1:14" x14ac:dyDescent="0.25">
      <c r="A43" s="177" t="s">
        <v>77</v>
      </c>
      <c r="B43" s="178">
        <v>1479.25</v>
      </c>
    </row>
    <row r="44" spans="1:14" ht="24" thickBot="1" x14ac:dyDescent="0.4">
      <c r="A44" s="179" t="s">
        <v>35</v>
      </c>
      <c r="B44" s="180">
        <f>SUM(B42:B43)</f>
        <v>23786.481207319412</v>
      </c>
      <c r="C44" s="35"/>
    </row>
  </sheetData>
  <mergeCells count="12">
    <mergeCell ref="J4:K4"/>
    <mergeCell ref="H22:I22"/>
    <mergeCell ref="J22:M22"/>
    <mergeCell ref="H31:N33"/>
    <mergeCell ref="M35:N35"/>
    <mergeCell ref="M41:N41"/>
    <mergeCell ref="M42:N42"/>
    <mergeCell ref="M36:N36"/>
    <mergeCell ref="M37:N37"/>
    <mergeCell ref="M38:N38"/>
    <mergeCell ref="M39:N39"/>
    <mergeCell ref="M40:N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8"/>
  <sheetViews>
    <sheetView showGridLines="0" zoomScaleNormal="100" workbookViewId="0">
      <selection activeCell="I32" sqref="I32:K32"/>
    </sheetView>
  </sheetViews>
  <sheetFormatPr baseColWidth="10" defaultRowHeight="15" x14ac:dyDescent="0.25"/>
  <cols>
    <col min="3" max="3" width="16" customWidth="1"/>
    <col min="7" max="7" width="12" bestFit="1" customWidth="1"/>
    <col min="10" max="10" width="16.42578125" customWidth="1"/>
    <col min="11" max="11" width="4.140625" customWidth="1"/>
    <col min="12" max="12" width="0.85546875" customWidth="1"/>
  </cols>
  <sheetData>
    <row r="1" spans="3:12" ht="15.75" thickBot="1" x14ac:dyDescent="0.3"/>
    <row r="2" spans="3:12" ht="21" x14ac:dyDescent="0.25">
      <c r="C2" s="247" t="s">
        <v>106</v>
      </c>
      <c r="D2" s="248"/>
      <c r="E2" s="248"/>
      <c r="F2" s="248"/>
      <c r="G2" s="248"/>
      <c r="H2" s="248"/>
      <c r="I2" s="248"/>
      <c r="J2" s="248"/>
      <c r="K2" s="248"/>
      <c r="L2" s="249"/>
    </row>
    <row r="3" spans="3:12" x14ac:dyDescent="0.25">
      <c r="C3" s="117"/>
      <c r="D3" s="118"/>
      <c r="E3" s="118"/>
      <c r="F3" s="118"/>
      <c r="G3" s="118"/>
      <c r="H3" s="118"/>
      <c r="I3" s="118"/>
      <c r="J3" s="118"/>
      <c r="K3" s="118"/>
      <c r="L3" s="119"/>
    </row>
    <row r="4" spans="3:12" x14ac:dyDescent="0.25">
      <c r="C4" s="117"/>
      <c r="D4" s="118"/>
      <c r="E4" s="118"/>
      <c r="F4" s="118"/>
      <c r="G4" s="118"/>
      <c r="H4" s="118"/>
      <c r="I4" s="118"/>
      <c r="J4" s="118"/>
      <c r="K4" s="118"/>
      <c r="L4" s="119"/>
    </row>
    <row r="5" spans="3:12" x14ac:dyDescent="0.25">
      <c r="C5" s="117"/>
      <c r="D5" s="118"/>
      <c r="E5" s="118"/>
      <c r="F5" s="118"/>
      <c r="G5" s="118"/>
      <c r="H5" s="118"/>
      <c r="I5" s="118"/>
      <c r="J5" s="118"/>
      <c r="K5" s="118"/>
      <c r="L5" s="119"/>
    </row>
    <row r="6" spans="3:12" x14ac:dyDescent="0.25">
      <c r="C6" s="117"/>
      <c r="D6" s="118"/>
      <c r="E6" s="118"/>
      <c r="F6" s="118"/>
      <c r="G6" s="118"/>
      <c r="H6" s="118"/>
      <c r="I6" s="118"/>
      <c r="J6" s="118"/>
      <c r="K6" s="118"/>
      <c r="L6" s="119"/>
    </row>
    <row r="7" spans="3:12" x14ac:dyDescent="0.25">
      <c r="C7" s="117"/>
      <c r="D7" s="118"/>
      <c r="E7" s="118"/>
      <c r="F7" s="118"/>
      <c r="G7" s="118"/>
      <c r="H7" s="118"/>
      <c r="I7" s="118"/>
      <c r="J7" s="118"/>
      <c r="K7" s="118"/>
      <c r="L7" s="119"/>
    </row>
    <row r="8" spans="3:12" ht="15.75" thickBot="1" x14ac:dyDescent="0.3">
      <c r="C8" s="117"/>
      <c r="D8" s="118"/>
      <c r="E8" s="118"/>
      <c r="F8" s="118"/>
      <c r="G8" s="118"/>
      <c r="H8" s="118"/>
      <c r="I8" s="118"/>
      <c r="J8" s="118"/>
      <c r="K8" s="118"/>
      <c r="L8" s="119"/>
    </row>
    <row r="9" spans="3:12" ht="24" thickBot="1" x14ac:dyDescent="0.4">
      <c r="C9" s="194" t="str">
        <f>GDMTO!J22</f>
        <v xml:space="preserve">    |INDUSTRIAS FRICK SA DE CV</v>
      </c>
      <c r="D9" s="118"/>
      <c r="E9" s="118"/>
      <c r="F9" s="118"/>
      <c r="G9" s="118"/>
      <c r="H9" s="250">
        <f>J30</f>
        <v>23786.481207319412</v>
      </c>
      <c r="I9" s="251"/>
      <c r="J9" s="252"/>
      <c r="K9" s="118"/>
      <c r="L9" s="119"/>
    </row>
    <row r="10" spans="3:12" x14ac:dyDescent="0.25">
      <c r="C10" s="117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3:12" x14ac:dyDescent="0.25">
      <c r="C11" s="117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3:12" x14ac:dyDescent="0.25">
      <c r="C12" s="117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3:12" ht="15.75" x14ac:dyDescent="0.25">
      <c r="C13" s="117"/>
      <c r="D13" s="118"/>
      <c r="E13" s="118"/>
      <c r="F13" s="253">
        <f>GDMTO!M3</f>
        <v>7360</v>
      </c>
      <c r="G13" s="253"/>
      <c r="H13" s="253"/>
      <c r="I13" s="118"/>
      <c r="J13" s="118"/>
      <c r="K13" s="118"/>
      <c r="L13" s="119"/>
    </row>
    <row r="14" spans="3:12" ht="15.75" x14ac:dyDescent="0.25">
      <c r="C14" s="117"/>
      <c r="D14" s="118"/>
      <c r="E14" s="118"/>
      <c r="F14" s="254">
        <f>GDMTO!M4</f>
        <v>20</v>
      </c>
      <c r="G14" s="254"/>
      <c r="H14" s="254"/>
      <c r="I14" s="118"/>
      <c r="J14" s="118"/>
      <c r="K14" s="118"/>
      <c r="L14" s="119"/>
    </row>
    <row r="15" spans="3:12" ht="15.75" x14ac:dyDescent="0.25">
      <c r="C15" s="117"/>
      <c r="D15" s="118"/>
      <c r="E15" s="118"/>
      <c r="F15" s="253">
        <f>GDMTO!M5</f>
        <v>4880</v>
      </c>
      <c r="G15" s="253"/>
      <c r="H15" s="253"/>
      <c r="I15" s="118"/>
      <c r="J15" s="118"/>
      <c r="K15" s="118"/>
      <c r="L15" s="119"/>
    </row>
    <row r="16" spans="3:12" ht="15.75" x14ac:dyDescent="0.25">
      <c r="C16" s="117"/>
      <c r="D16" s="118"/>
      <c r="E16" s="118"/>
      <c r="F16" s="245">
        <f>GDMTO!I7</f>
        <v>83.344138268197625</v>
      </c>
      <c r="G16" s="246"/>
      <c r="H16" s="246"/>
      <c r="I16" s="118"/>
      <c r="J16" s="118"/>
      <c r="K16" s="118"/>
      <c r="L16" s="119"/>
    </row>
    <row r="17" spans="3:12" x14ac:dyDescent="0.25">
      <c r="C17" s="117"/>
      <c r="D17" s="118"/>
      <c r="E17" s="118"/>
      <c r="F17" s="118"/>
      <c r="G17" s="118"/>
      <c r="H17" s="118"/>
      <c r="I17" s="118"/>
      <c r="J17" s="118"/>
      <c r="K17" s="118"/>
      <c r="L17" s="119"/>
    </row>
    <row r="18" spans="3:12" x14ac:dyDescent="0.25">
      <c r="C18" s="117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3:12" x14ac:dyDescent="0.25">
      <c r="C19" s="117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3:12" x14ac:dyDescent="0.25">
      <c r="C20" s="117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3:12" ht="15.75" x14ac:dyDescent="0.25">
      <c r="C21" s="117"/>
      <c r="D21" s="121">
        <f>GDMTO!B24</f>
        <v>430.27</v>
      </c>
      <c r="E21" s="122"/>
      <c r="F21" s="122"/>
      <c r="G21" s="157">
        <f>D21</f>
        <v>430.27</v>
      </c>
      <c r="H21" s="120"/>
      <c r="I21" s="150"/>
      <c r="J21" s="124">
        <f>D21</f>
        <v>430.27</v>
      </c>
      <c r="K21" s="118"/>
      <c r="L21" s="119"/>
    </row>
    <row r="22" spans="3:12" ht="15.75" x14ac:dyDescent="0.25">
      <c r="C22" s="117"/>
      <c r="D22" s="153">
        <f>GDMTO!K13</f>
        <v>96.486112084346246</v>
      </c>
      <c r="E22" s="126"/>
      <c r="F22" s="127">
        <f>GDMTO!O6</f>
        <v>18.552127445049408</v>
      </c>
      <c r="G22" s="156">
        <f>D22*F22</f>
        <v>1790.0226480661133</v>
      </c>
      <c r="H22" s="120"/>
      <c r="I22" s="151"/>
      <c r="J22" s="152">
        <f>SUM(G22:G30)</f>
        <v>17559.525437105007</v>
      </c>
      <c r="K22" s="118"/>
      <c r="L22" s="119"/>
    </row>
    <row r="23" spans="3:12" ht="15.75" x14ac:dyDescent="0.25">
      <c r="C23" s="117"/>
      <c r="D23" s="129">
        <f>GDMTO!J12</f>
        <v>0.16628999999999999</v>
      </c>
      <c r="E23" s="130">
        <f>GDMTO!F13</f>
        <v>7360</v>
      </c>
      <c r="F23" s="122"/>
      <c r="G23" s="158">
        <f>D23*E23</f>
        <v>1223.8943999999999</v>
      </c>
      <c r="H23" s="120"/>
      <c r="I23" s="150"/>
      <c r="J23" s="144">
        <f>GDMTO!B38</f>
        <v>359.79590874210015</v>
      </c>
      <c r="K23" s="118"/>
      <c r="L23" s="119"/>
    </row>
    <row r="24" spans="3:12" x14ac:dyDescent="0.25">
      <c r="C24" s="117"/>
      <c r="D24" s="132">
        <f>GDMTO!L12</f>
        <v>7.8002717391304341E-3</v>
      </c>
      <c r="E24" s="133">
        <f>GDMTO!D15</f>
        <v>4822.0689655172418</v>
      </c>
      <c r="F24" s="126"/>
      <c r="G24" s="156">
        <f t="shared" ref="G24:G27" si="0">D24*E24</f>
        <v>37.613448275862069</v>
      </c>
      <c r="H24" s="118"/>
      <c r="I24" s="151"/>
      <c r="J24" s="145">
        <f>G31</f>
        <v>17989.795437105007</v>
      </c>
      <c r="K24" s="118"/>
      <c r="L24" s="119"/>
    </row>
    <row r="25" spans="3:12" x14ac:dyDescent="0.25">
      <c r="C25" s="117"/>
      <c r="D25" s="129">
        <f>GDMTO!L17</f>
        <v>7.8002717391304341E-3</v>
      </c>
      <c r="E25" s="130">
        <f>GDMTO!E15</f>
        <v>2537.9310344827586</v>
      </c>
      <c r="F25" s="122"/>
      <c r="G25" s="158">
        <f t="shared" si="0"/>
        <v>19.796551724137927</v>
      </c>
      <c r="H25" s="118"/>
      <c r="I25" s="150"/>
      <c r="J25" s="146">
        <f>GDMTO!B39</f>
        <v>880.78038460066114</v>
      </c>
      <c r="K25" s="118"/>
      <c r="L25" s="119"/>
    </row>
    <row r="26" spans="3:12" x14ac:dyDescent="0.25">
      <c r="C26" s="117"/>
      <c r="D26" s="132">
        <f>GDMTO!O12</f>
        <v>1.1926209239130436</v>
      </c>
      <c r="E26" s="133">
        <f>GDMTO!D17</f>
        <v>4822.0689655172418</v>
      </c>
      <c r="F26" s="126"/>
      <c r="G26" s="156">
        <f t="shared" si="0"/>
        <v>5750.9003448275871</v>
      </c>
      <c r="H26" s="118"/>
      <c r="I26" s="151"/>
      <c r="J26" s="145">
        <f>J24+J23+J25</f>
        <v>19230.371730447769</v>
      </c>
      <c r="K26" s="118"/>
      <c r="L26" s="119"/>
    </row>
    <row r="27" spans="3:12" x14ac:dyDescent="0.25">
      <c r="C27" s="117"/>
      <c r="D27" s="129">
        <f>GDMTO!O17</f>
        <v>1.1926209239130436</v>
      </c>
      <c r="E27" s="130">
        <f>GDMTO!E17</f>
        <v>2537.9310344827586</v>
      </c>
      <c r="F27" s="122"/>
      <c r="G27" s="158">
        <f t="shared" si="0"/>
        <v>3026.7896551724143</v>
      </c>
      <c r="H27" s="118"/>
      <c r="I27" s="150"/>
      <c r="J27" s="146">
        <f>GDMTO!B41</f>
        <v>3076.859476871643</v>
      </c>
      <c r="K27" s="118"/>
      <c r="L27" s="119"/>
    </row>
    <row r="28" spans="3:12" x14ac:dyDescent="0.25">
      <c r="C28" s="117"/>
      <c r="D28" s="181">
        <f>GDMTO!P13</f>
        <v>305.66674392656358</v>
      </c>
      <c r="E28" s="154"/>
      <c r="F28" s="127">
        <f>GDMTO!D19</f>
        <v>12.154842119170301</v>
      </c>
      <c r="G28" s="156">
        <f>D28*F28</f>
        <v>3715.3310135082379</v>
      </c>
      <c r="H28" s="118"/>
      <c r="I28" s="151"/>
      <c r="J28" s="145">
        <f>J26+J27</f>
        <v>22307.231207319412</v>
      </c>
      <c r="K28" s="118"/>
      <c r="L28" s="119"/>
    </row>
    <row r="29" spans="3:12" x14ac:dyDescent="0.25">
      <c r="C29" s="117"/>
      <c r="D29" s="182">
        <f>GDMTO!P18</f>
        <v>305.66674392656358</v>
      </c>
      <c r="E29" s="130"/>
      <c r="F29" s="155">
        <f>GDMTO!E19</f>
        <v>6.3972853258791069</v>
      </c>
      <c r="G29" s="158">
        <f>D29*F29</f>
        <v>1955.4373755306519</v>
      </c>
      <c r="H29" s="118"/>
      <c r="I29" s="150"/>
      <c r="J29" s="147">
        <f>GDMTO!B43</f>
        <v>1479.25</v>
      </c>
      <c r="K29" s="118"/>
      <c r="L29" s="119"/>
    </row>
    <row r="30" spans="3:12" x14ac:dyDescent="0.25">
      <c r="C30" s="117"/>
      <c r="D30" s="126">
        <f>GDMTO!N12</f>
        <v>5.3994565217391306E-3</v>
      </c>
      <c r="E30" s="161">
        <f>GDMTO!F21</f>
        <v>7360</v>
      </c>
      <c r="F30" s="126"/>
      <c r="G30" s="156">
        <f>D30*E30</f>
        <v>39.74</v>
      </c>
      <c r="H30" s="118"/>
      <c r="I30" s="151"/>
      <c r="J30" s="148">
        <f>J28+J29</f>
        <v>23786.481207319412</v>
      </c>
      <c r="K30" s="118"/>
      <c r="L30" s="119"/>
    </row>
    <row r="31" spans="3:12" x14ac:dyDescent="0.25">
      <c r="C31" s="117"/>
      <c r="D31" s="123"/>
      <c r="E31" s="123"/>
      <c r="F31" s="123"/>
      <c r="G31" s="160">
        <f>SUM(G21:G30)</f>
        <v>17989.795437105007</v>
      </c>
      <c r="H31" s="118"/>
      <c r="I31" s="118"/>
      <c r="J31" s="118"/>
      <c r="K31" s="118"/>
      <c r="L31" s="119"/>
    </row>
    <row r="32" spans="3:12" ht="15.75" thickBot="1" x14ac:dyDescent="0.3">
      <c r="C32" s="139"/>
      <c r="D32" s="140"/>
      <c r="E32" s="140"/>
      <c r="F32" s="140"/>
      <c r="G32" s="140"/>
      <c r="H32" s="140"/>
      <c r="I32" s="244" t="s">
        <v>120</v>
      </c>
      <c r="J32" s="244"/>
      <c r="K32" s="244"/>
      <c r="L32" s="141"/>
    </row>
    <row r="33" spans="3:12" x14ac:dyDescent="0.25"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3:12" x14ac:dyDescent="0.25">
      <c r="C34" s="149"/>
      <c r="D34" s="149"/>
      <c r="E34" s="149"/>
      <c r="F34" s="149"/>
      <c r="G34" s="159"/>
      <c r="H34" s="159"/>
      <c r="I34" s="159"/>
      <c r="J34" s="149"/>
      <c r="K34" s="149"/>
      <c r="L34" s="149"/>
    </row>
    <row r="35" spans="3:12" x14ac:dyDescent="0.25"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3:12" x14ac:dyDescent="0.25"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3:12" x14ac:dyDescent="0.25"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3:12" x14ac:dyDescent="0.25"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</sheetData>
  <mergeCells count="7">
    <mergeCell ref="I32:K32"/>
    <mergeCell ref="F16:H16"/>
    <mergeCell ref="C2:L2"/>
    <mergeCell ref="H9:J9"/>
    <mergeCell ref="F13:H13"/>
    <mergeCell ref="F14:H14"/>
    <mergeCell ref="F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A10" zoomScaleNormal="100" workbookViewId="0">
      <selection activeCell="T3" sqref="T3:W3"/>
    </sheetView>
  </sheetViews>
  <sheetFormatPr baseColWidth="10" defaultRowHeight="15" x14ac:dyDescent="0.25"/>
  <cols>
    <col min="1" max="1" width="17.140625" customWidth="1"/>
    <col min="2" max="2" width="16.85546875" bestFit="1" customWidth="1"/>
    <col min="3" max="3" width="12" customWidth="1"/>
    <col min="4" max="4" width="13.85546875" customWidth="1"/>
    <col min="5" max="5" width="17.5703125" bestFit="1" customWidth="1"/>
    <col min="6" max="6" width="2.140625" customWidth="1"/>
    <col min="7" max="7" width="17.28515625" customWidth="1"/>
    <col min="8" max="8" width="11.5703125" customWidth="1"/>
    <col min="10" max="10" width="12.28515625" customWidth="1"/>
    <col min="11" max="11" width="9.7109375" customWidth="1"/>
    <col min="12" max="12" width="10.5703125" customWidth="1"/>
    <col min="13" max="14" width="9" bestFit="1" customWidth="1"/>
    <col min="15" max="15" width="9.5703125" customWidth="1"/>
    <col min="16" max="16" width="13.5703125" customWidth="1"/>
    <col min="18" max="19" width="13.85546875" bestFit="1" customWidth="1"/>
    <col min="20" max="20" width="15.5703125" bestFit="1" customWidth="1"/>
  </cols>
  <sheetData>
    <row r="1" spans="1:23" ht="15.75" thickBot="1" x14ac:dyDescent="0.3">
      <c r="B1" t="s">
        <v>0</v>
      </c>
      <c r="G1" s="255" t="s">
        <v>127</v>
      </c>
      <c r="H1" s="256"/>
      <c r="I1" s="256"/>
      <c r="J1" s="257"/>
    </row>
    <row r="2" spans="1:23" ht="15.75" thickBot="1" x14ac:dyDescent="0.3">
      <c r="B2" s="2" t="s">
        <v>1</v>
      </c>
      <c r="C2" s="43" t="s">
        <v>58</v>
      </c>
      <c r="D2" t="s">
        <v>56</v>
      </c>
      <c r="E2" s="43" t="s">
        <v>78</v>
      </c>
      <c r="G2" s="196"/>
      <c r="H2" s="45" t="s">
        <v>70</v>
      </c>
      <c r="I2" s="45" t="s">
        <v>71</v>
      </c>
      <c r="J2" s="46" t="s">
        <v>24</v>
      </c>
      <c r="K2" t="s">
        <v>79</v>
      </c>
      <c r="L2">
        <f>MAX(L4:L17)</f>
        <v>43</v>
      </c>
    </row>
    <row r="3" spans="1:23" ht="15.75" thickBot="1" x14ac:dyDescent="0.3">
      <c r="E3" s="1" t="s">
        <v>5</v>
      </c>
      <c r="G3" s="197" t="s">
        <v>63</v>
      </c>
      <c r="H3" s="15"/>
      <c r="I3" s="79"/>
      <c r="J3" s="214">
        <f>J39</f>
        <v>189350</v>
      </c>
      <c r="K3" s="11" t="s">
        <v>14</v>
      </c>
      <c r="L3" s="11" t="s">
        <v>80</v>
      </c>
      <c r="M3" s="11" t="s">
        <v>81</v>
      </c>
      <c r="N3" s="11" t="s">
        <v>82</v>
      </c>
      <c r="O3" s="11" t="s">
        <v>83</v>
      </c>
      <c r="P3" s="113" t="s">
        <v>84</v>
      </c>
      <c r="R3" s="230" t="s">
        <v>108</v>
      </c>
      <c r="S3" s="231"/>
      <c r="T3" s="232" t="s">
        <v>148</v>
      </c>
      <c r="U3" s="232"/>
      <c r="V3" s="232"/>
      <c r="W3" s="233"/>
    </row>
    <row r="4" spans="1:23" x14ac:dyDescent="0.25">
      <c r="A4" s="2" t="s">
        <v>14</v>
      </c>
      <c r="B4" t="s">
        <v>15</v>
      </c>
      <c r="C4" s="3">
        <v>43524</v>
      </c>
      <c r="D4" s="3">
        <v>43524</v>
      </c>
      <c r="E4">
        <f>D4-C4</f>
        <v>0</v>
      </c>
      <c r="G4" s="47" t="s">
        <v>64</v>
      </c>
      <c r="H4" s="40"/>
      <c r="I4" s="95"/>
      <c r="J4" s="214">
        <f t="shared" ref="J4:J8" si="0">J40</f>
        <v>339200</v>
      </c>
      <c r="K4" s="195">
        <v>42979</v>
      </c>
      <c r="L4" s="40">
        <v>34</v>
      </c>
      <c r="M4" s="40">
        <v>9895</v>
      </c>
      <c r="N4" s="40">
        <v>99.94</v>
      </c>
      <c r="O4" s="40">
        <v>40</v>
      </c>
      <c r="P4" s="110">
        <v>1.8169999999999999</v>
      </c>
    </row>
    <row r="5" spans="1:23" x14ac:dyDescent="0.25">
      <c r="B5" t="s">
        <v>17</v>
      </c>
      <c r="C5" s="3">
        <v>43555</v>
      </c>
      <c r="E5">
        <f>C5-D4</f>
        <v>31</v>
      </c>
      <c r="G5" s="198" t="s">
        <v>65</v>
      </c>
      <c r="H5" s="19"/>
      <c r="I5" s="29"/>
      <c r="J5" s="214">
        <f t="shared" si="0"/>
        <v>83233</v>
      </c>
      <c r="K5" s="195">
        <v>43009</v>
      </c>
      <c r="L5" s="40">
        <v>35</v>
      </c>
      <c r="M5" s="40">
        <v>8030</v>
      </c>
      <c r="N5" s="40">
        <v>99.95</v>
      </c>
      <c r="O5" s="40">
        <v>34</v>
      </c>
      <c r="P5" s="110">
        <v>1.9019999999999999</v>
      </c>
    </row>
    <row r="6" spans="1:23" x14ac:dyDescent="0.25">
      <c r="B6" t="s">
        <v>5</v>
      </c>
      <c r="C6" s="77">
        <f>C5-C4</f>
        <v>31</v>
      </c>
      <c r="E6">
        <f>E5+E4</f>
        <v>31</v>
      </c>
      <c r="G6" s="197" t="s">
        <v>66</v>
      </c>
      <c r="H6" s="15"/>
      <c r="I6" s="15"/>
      <c r="J6" s="214">
        <f t="shared" si="0"/>
        <v>1016</v>
      </c>
      <c r="K6" s="195">
        <v>43009</v>
      </c>
      <c r="L6" s="40">
        <v>19</v>
      </c>
      <c r="M6" s="40">
        <v>766</v>
      </c>
      <c r="N6" s="40">
        <v>99.99</v>
      </c>
      <c r="O6" s="40">
        <v>55</v>
      </c>
      <c r="P6" s="110">
        <v>1.6180000000000001</v>
      </c>
    </row>
    <row r="7" spans="1:23" x14ac:dyDescent="0.25">
      <c r="G7" s="47" t="s">
        <v>67</v>
      </c>
      <c r="H7" s="84"/>
      <c r="I7" s="40"/>
      <c r="J7" s="214">
        <f t="shared" si="0"/>
        <v>1030</v>
      </c>
      <c r="K7" s="195">
        <v>43040</v>
      </c>
      <c r="L7" s="40">
        <v>26</v>
      </c>
      <c r="M7" s="40">
        <v>6575</v>
      </c>
      <c r="N7" s="40">
        <v>99.99</v>
      </c>
      <c r="O7" s="40">
        <v>35</v>
      </c>
      <c r="P7" s="110">
        <v>2.0825</v>
      </c>
    </row>
    <row r="8" spans="1:23" x14ac:dyDescent="0.25">
      <c r="G8" s="198" t="s">
        <v>68</v>
      </c>
      <c r="H8" s="96"/>
      <c r="I8" s="19"/>
      <c r="J8" s="214">
        <f t="shared" si="0"/>
        <v>1015</v>
      </c>
      <c r="K8" s="195">
        <v>43070</v>
      </c>
      <c r="L8" s="40">
        <v>25</v>
      </c>
      <c r="M8" s="40">
        <v>6340</v>
      </c>
      <c r="N8" s="40">
        <v>100</v>
      </c>
      <c r="O8" s="40">
        <v>34</v>
      </c>
      <c r="P8" s="110">
        <v>2.2608999999999999</v>
      </c>
    </row>
    <row r="9" spans="1:23" x14ac:dyDescent="0.25">
      <c r="A9" t="s">
        <v>90</v>
      </c>
      <c r="B9">
        <f>+J3+J4+J5</f>
        <v>611783</v>
      </c>
      <c r="D9" t="s">
        <v>6</v>
      </c>
      <c r="G9" s="197" t="s">
        <v>69</v>
      </c>
      <c r="H9" s="22"/>
      <c r="I9" s="15"/>
      <c r="J9" s="199">
        <f>ROUNDUP(I14,0)</f>
        <v>1443</v>
      </c>
      <c r="K9" s="195">
        <v>43101</v>
      </c>
      <c r="L9" s="40">
        <v>19</v>
      </c>
      <c r="M9" s="40">
        <v>4804</v>
      </c>
      <c r="N9" s="40">
        <v>100</v>
      </c>
      <c r="O9" s="40">
        <v>34</v>
      </c>
      <c r="P9" s="110">
        <v>1.7212000000000001</v>
      </c>
    </row>
    <row r="10" spans="1:23" x14ac:dyDescent="0.25">
      <c r="B10">
        <f>29*720</f>
        <v>20880</v>
      </c>
      <c r="C10" s="97">
        <f>B9/B10</f>
        <v>29.299952107279694</v>
      </c>
      <c r="D10" s="77">
        <f>C10*100</f>
        <v>2929.9952107279696</v>
      </c>
      <c r="G10" s="47" t="s">
        <v>31</v>
      </c>
      <c r="H10" s="84"/>
      <c r="I10" s="40"/>
      <c r="J10" s="215">
        <v>133794</v>
      </c>
      <c r="K10" s="195">
        <v>43132</v>
      </c>
      <c r="L10" s="40">
        <v>26</v>
      </c>
      <c r="M10" s="40">
        <v>6649</v>
      </c>
      <c r="N10" s="40">
        <v>99.99</v>
      </c>
      <c r="O10" s="40">
        <v>38</v>
      </c>
      <c r="P10" s="110">
        <v>1.8289</v>
      </c>
    </row>
    <row r="11" spans="1:23" x14ac:dyDescent="0.25">
      <c r="A11" t="s">
        <v>94</v>
      </c>
      <c r="G11" s="198" t="s">
        <v>30</v>
      </c>
      <c r="H11" s="96"/>
      <c r="I11" s="19"/>
      <c r="J11" s="200">
        <f>(COS(ATAN(J10/(J4+J3+J5)))*100)</f>
        <v>97.691119384407486</v>
      </c>
      <c r="K11" s="195">
        <v>43160</v>
      </c>
      <c r="L11" s="40">
        <v>28</v>
      </c>
      <c r="M11" s="40">
        <v>7216</v>
      </c>
      <c r="N11" s="40">
        <v>99.99</v>
      </c>
      <c r="O11" s="40">
        <v>35</v>
      </c>
      <c r="P11" s="110">
        <v>1.958</v>
      </c>
    </row>
    <row r="12" spans="1:23" ht="15.75" thickBot="1" x14ac:dyDescent="0.3">
      <c r="G12" s="201" t="s">
        <v>85</v>
      </c>
      <c r="H12" s="22"/>
      <c r="I12" s="15"/>
      <c r="J12" s="202"/>
      <c r="K12" s="195">
        <v>43191</v>
      </c>
      <c r="L12" s="40">
        <v>32</v>
      </c>
      <c r="M12" s="40">
        <v>8838</v>
      </c>
      <c r="N12" s="40">
        <v>99.97</v>
      </c>
      <c r="O12" s="40">
        <v>38</v>
      </c>
      <c r="P12" s="110">
        <v>0</v>
      </c>
    </row>
    <row r="13" spans="1:23" x14ac:dyDescent="0.25">
      <c r="C13" t="s">
        <v>86</v>
      </c>
      <c r="G13" s="47" t="s">
        <v>88</v>
      </c>
      <c r="H13" s="84">
        <f>J3+J4+J5</f>
        <v>611783</v>
      </c>
      <c r="I13" s="40" t="s">
        <v>69</v>
      </c>
      <c r="J13" s="216" t="s">
        <v>135</v>
      </c>
      <c r="K13" s="195">
        <v>43221</v>
      </c>
      <c r="L13" s="40">
        <v>33</v>
      </c>
      <c r="M13" s="40">
        <v>9196</v>
      </c>
      <c r="N13" s="40">
        <v>99.98</v>
      </c>
      <c r="O13" s="40">
        <v>37</v>
      </c>
      <c r="P13" s="110">
        <v>2.2362000000000002</v>
      </c>
    </row>
    <row r="14" spans="1:23" ht="15.75" thickBot="1" x14ac:dyDescent="0.3">
      <c r="C14" t="s">
        <v>87</v>
      </c>
      <c r="D14">
        <v>0.56999999999999995</v>
      </c>
      <c r="G14" s="51" t="s">
        <v>89</v>
      </c>
      <c r="H14" s="204">
        <f>24*C6*0.57</f>
        <v>424.08</v>
      </c>
      <c r="I14" s="205">
        <f>H13/H14</f>
        <v>1442.612242973024</v>
      </c>
      <c r="J14" s="218">
        <f>MIN(MAX(J6:J8),J9)</f>
        <v>1030</v>
      </c>
      <c r="K14" s="195">
        <v>43252</v>
      </c>
      <c r="L14" s="40">
        <v>32</v>
      </c>
      <c r="M14" s="40">
        <v>10609</v>
      </c>
      <c r="N14" s="40">
        <v>99.97</v>
      </c>
      <c r="O14" s="40">
        <v>46</v>
      </c>
      <c r="P14" s="110">
        <v>2.4331999999999998</v>
      </c>
    </row>
    <row r="15" spans="1:23" x14ac:dyDescent="0.25">
      <c r="H15" s="8"/>
      <c r="J15" s="216" t="s">
        <v>136</v>
      </c>
      <c r="K15" s="195">
        <v>43282</v>
      </c>
      <c r="L15" s="40">
        <v>43</v>
      </c>
      <c r="M15" s="40">
        <v>11671</v>
      </c>
      <c r="N15" s="40">
        <v>99.95</v>
      </c>
      <c r="O15" s="40">
        <v>36</v>
      </c>
      <c r="P15" s="110">
        <v>2.6781000000000001</v>
      </c>
    </row>
    <row r="16" spans="1:23" ht="15.75" thickBot="1" x14ac:dyDescent="0.3">
      <c r="C16" s="98" t="s">
        <v>93</v>
      </c>
      <c r="H16" s="8"/>
      <c r="J16" s="217">
        <f>MIN(J8,J9)</f>
        <v>1015</v>
      </c>
      <c r="K16" s="195">
        <v>43313</v>
      </c>
      <c r="L16" s="40">
        <v>33</v>
      </c>
      <c r="M16" s="40">
        <v>9765</v>
      </c>
      <c r="N16" s="40">
        <v>99.98</v>
      </c>
      <c r="O16" s="40">
        <v>40</v>
      </c>
      <c r="P16" s="110">
        <v>3.0518000000000001</v>
      </c>
    </row>
    <row r="17" spans="1:21" ht="15.75" thickBot="1" x14ac:dyDescent="0.3">
      <c r="K17" s="111">
        <v>43344</v>
      </c>
      <c r="L17" s="19">
        <v>24</v>
      </c>
      <c r="M17" s="19">
        <v>9726</v>
      </c>
      <c r="N17" s="19">
        <v>99.99</v>
      </c>
      <c r="O17" s="19">
        <v>47</v>
      </c>
      <c r="P17" s="112">
        <v>3.3807</v>
      </c>
    </row>
    <row r="18" spans="1:21" ht="15.75" thickBot="1" x14ac:dyDescent="0.3">
      <c r="A18" t="s">
        <v>33</v>
      </c>
      <c r="C18" t="s">
        <v>34</v>
      </c>
      <c r="D18" t="s">
        <v>59</v>
      </c>
      <c r="E18" t="s">
        <v>35</v>
      </c>
      <c r="G18" s="62"/>
      <c r="H18" s="63"/>
      <c r="I18" s="63"/>
      <c r="J18" s="63"/>
      <c r="K18" s="108"/>
      <c r="L18" s="108" t="s">
        <v>3</v>
      </c>
      <c r="M18" s="108"/>
      <c r="N18" s="108"/>
      <c r="O18" s="109"/>
    </row>
    <row r="19" spans="1:21" ht="15.75" thickBot="1" x14ac:dyDescent="0.3">
      <c r="A19" s="14" t="s">
        <v>10</v>
      </c>
      <c r="B19" s="79" t="s">
        <v>16</v>
      </c>
      <c r="C19" s="15"/>
      <c r="D19" s="80"/>
      <c r="E19" s="81">
        <f>L20</f>
        <v>451.04</v>
      </c>
      <c r="G19" s="47" t="s">
        <v>58</v>
      </c>
      <c r="H19" s="40"/>
      <c r="I19" s="56" t="s">
        <v>7</v>
      </c>
      <c r="J19" s="99" t="s">
        <v>8</v>
      </c>
      <c r="K19" s="61" t="s">
        <v>9</v>
      </c>
      <c r="L19" s="56" t="s">
        <v>10</v>
      </c>
      <c r="M19" s="56" t="s">
        <v>11</v>
      </c>
      <c r="N19" s="61" t="s">
        <v>12</v>
      </c>
      <c r="O19" s="100" t="s">
        <v>13</v>
      </c>
    </row>
    <row r="20" spans="1:21" ht="15.75" thickBot="1" x14ac:dyDescent="0.3">
      <c r="A20" s="105" t="s">
        <v>36</v>
      </c>
      <c r="B20" s="69" t="s">
        <v>37</v>
      </c>
      <c r="C20" s="15"/>
      <c r="D20" s="213">
        <f>MIN(MAX(J6:J8),J9)</f>
        <v>1030</v>
      </c>
      <c r="E20" s="213">
        <f>MIN(MAX(J6:J8),J9)</f>
        <v>1030</v>
      </c>
      <c r="G20" s="47"/>
      <c r="H20" s="40" t="s">
        <v>16</v>
      </c>
      <c r="I20" s="55"/>
      <c r="J20" s="55"/>
      <c r="K20" s="55"/>
      <c r="L20" s="55">
        <f>T45</f>
        <v>451.04</v>
      </c>
      <c r="M20" s="55"/>
      <c r="N20" s="55"/>
      <c r="O20" s="57"/>
      <c r="Q20" s="211" t="s">
        <v>137</v>
      </c>
      <c r="R20" s="212"/>
      <c r="S20" s="186"/>
    </row>
    <row r="21" spans="1:21" x14ac:dyDescent="0.25">
      <c r="A21" s="32"/>
      <c r="B21" s="78" t="s">
        <v>38</v>
      </c>
      <c r="C21" s="40"/>
      <c r="D21" s="85">
        <f>J14*J24</f>
        <v>97427.7</v>
      </c>
      <c r="E21" s="88">
        <f>D21</f>
        <v>97427.7</v>
      </c>
      <c r="G21" s="71" t="s">
        <v>59</v>
      </c>
      <c r="H21" s="40" t="s">
        <v>60</v>
      </c>
      <c r="I21" s="66">
        <f>U47</f>
        <v>0.16630001160542218</v>
      </c>
      <c r="J21" s="55"/>
      <c r="K21" s="66">
        <f>U48</f>
        <v>7.8000042498729124E-3</v>
      </c>
      <c r="L21" s="55"/>
      <c r="M21" s="66">
        <f>U53</f>
        <v>5.4000029422197086E-3</v>
      </c>
      <c r="N21" s="66">
        <f>U49</f>
        <v>0.76530002640612615</v>
      </c>
      <c r="O21" s="57"/>
      <c r="Q21" s="47" t="s">
        <v>138</v>
      </c>
      <c r="R21" s="40">
        <v>1030</v>
      </c>
      <c r="S21" s="203"/>
    </row>
    <row r="22" spans="1:21" x14ac:dyDescent="0.25">
      <c r="A22" s="14" t="s">
        <v>39</v>
      </c>
      <c r="B22" s="69" t="s">
        <v>26</v>
      </c>
      <c r="C22" s="22">
        <f>(J4+J3+J5)/E6</f>
        <v>19734.935483870966</v>
      </c>
      <c r="D22" s="69">
        <f>C22*C6</f>
        <v>611783</v>
      </c>
      <c r="E22" s="86">
        <f>D22</f>
        <v>611783</v>
      </c>
      <c r="G22" s="71"/>
      <c r="H22" s="40" t="s">
        <v>61</v>
      </c>
      <c r="I22" s="66">
        <f>U47</f>
        <v>0.16630001160542218</v>
      </c>
      <c r="J22" s="55"/>
      <c r="K22" s="66">
        <f>U48</f>
        <v>7.8000042498729124E-3</v>
      </c>
      <c r="L22" s="55"/>
      <c r="M22" s="66">
        <f>U53</f>
        <v>5.4000029422197086E-3</v>
      </c>
      <c r="N22" s="66">
        <f t="shared" ref="N22:N23" si="1">U50</f>
        <v>1.4935</v>
      </c>
      <c r="O22" s="57"/>
      <c r="Q22" s="47" t="s">
        <v>139</v>
      </c>
      <c r="R22" s="40">
        <v>1015</v>
      </c>
      <c r="S22" s="203"/>
    </row>
    <row r="23" spans="1:21" ht="15.75" thickBot="1" x14ac:dyDescent="0.3">
      <c r="A23" s="17"/>
      <c r="B23" s="18" t="s">
        <v>38</v>
      </c>
      <c r="C23" s="19"/>
      <c r="D23" s="87">
        <f>C22*I21*E6</f>
        <v>101739.51999999999</v>
      </c>
      <c r="E23" s="90">
        <f>D23</f>
        <v>101739.51999999999</v>
      </c>
      <c r="G23" s="71"/>
      <c r="H23" s="40" t="s">
        <v>62</v>
      </c>
      <c r="I23" s="66">
        <f>U47</f>
        <v>0.16630001160542218</v>
      </c>
      <c r="J23" s="56"/>
      <c r="K23" s="66">
        <f>U48</f>
        <v>7.8000042498729124E-3</v>
      </c>
      <c r="L23" s="56"/>
      <c r="M23" s="66">
        <f>U53</f>
        <v>5.4000029422197086E-3</v>
      </c>
      <c r="N23" s="66">
        <f t="shared" si="1"/>
        <v>1.7255999423305659</v>
      </c>
      <c r="O23" s="58"/>
      <c r="Q23" s="51" t="s">
        <v>140</v>
      </c>
      <c r="R23" s="52">
        <v>611783</v>
      </c>
      <c r="S23" s="206"/>
    </row>
    <row r="24" spans="1:21" x14ac:dyDescent="0.25">
      <c r="A24" s="82" t="s">
        <v>9</v>
      </c>
      <c r="B24" s="83" t="s">
        <v>26</v>
      </c>
      <c r="C24" s="84">
        <f>C22</f>
        <v>19734.935483870966</v>
      </c>
      <c r="D24" s="89">
        <f>C24*C6</f>
        <v>611783</v>
      </c>
      <c r="E24" s="91">
        <f>+D24</f>
        <v>611783</v>
      </c>
      <c r="G24" s="71"/>
      <c r="H24" s="76" t="s">
        <v>20</v>
      </c>
      <c r="I24" s="56"/>
      <c r="J24" s="55">
        <f>U46</f>
        <v>94.59</v>
      </c>
      <c r="K24" s="56"/>
      <c r="L24" s="56"/>
      <c r="M24" s="56"/>
      <c r="N24" s="56"/>
      <c r="O24" s="57">
        <f>U52</f>
        <v>348.53999999999996</v>
      </c>
    </row>
    <row r="25" spans="1:21" x14ac:dyDescent="0.25">
      <c r="A25" s="17"/>
      <c r="B25" s="18" t="s">
        <v>38</v>
      </c>
      <c r="C25" s="19"/>
      <c r="D25" s="20">
        <f>D24*K21</f>
        <v>4771.91</v>
      </c>
      <c r="E25" s="24">
        <f>+D25</f>
        <v>4771.91</v>
      </c>
      <c r="G25" s="71"/>
      <c r="H25" s="40"/>
      <c r="I25" s="55"/>
      <c r="J25" s="55"/>
      <c r="K25" s="55"/>
      <c r="L25" s="55"/>
      <c r="M25" s="55"/>
      <c r="N25" s="55"/>
      <c r="O25" s="57"/>
    </row>
    <row r="26" spans="1:21" x14ac:dyDescent="0.25">
      <c r="A26" s="14" t="s">
        <v>72</v>
      </c>
      <c r="B26" s="69" t="s">
        <v>26</v>
      </c>
      <c r="C26" s="22">
        <f>C24</f>
        <v>19734.935483870966</v>
      </c>
      <c r="D26" s="68">
        <f>J3</f>
        <v>189350</v>
      </c>
      <c r="E26" s="23">
        <f>+D26</f>
        <v>189350</v>
      </c>
      <c r="G26" s="71"/>
      <c r="H26" s="40"/>
      <c r="I26" s="55"/>
      <c r="J26" s="55"/>
      <c r="K26" s="66"/>
      <c r="L26" s="55"/>
      <c r="M26" s="66"/>
      <c r="N26" s="65"/>
      <c r="O26" s="57"/>
    </row>
    <row r="27" spans="1:21" ht="15.75" thickBot="1" x14ac:dyDescent="0.3">
      <c r="A27" s="17"/>
      <c r="B27" s="18" t="s">
        <v>38</v>
      </c>
      <c r="C27" s="19"/>
      <c r="D27" s="20">
        <f>D26*N21</f>
        <v>144909.56</v>
      </c>
      <c r="E27" s="24">
        <f>+D27</f>
        <v>144909.56</v>
      </c>
      <c r="G27" s="51"/>
      <c r="H27" s="52"/>
      <c r="I27" s="59"/>
      <c r="J27" s="59"/>
      <c r="K27" s="59"/>
      <c r="L27" s="59"/>
      <c r="M27" s="59"/>
      <c r="N27" s="59"/>
      <c r="O27" s="60"/>
    </row>
    <row r="28" spans="1:21" ht="15.75" thickBot="1" x14ac:dyDescent="0.3">
      <c r="A28" s="14" t="s">
        <v>73</v>
      </c>
      <c r="B28" s="69" t="s">
        <v>26</v>
      </c>
      <c r="C28" s="22">
        <f>C26</f>
        <v>19734.935483870966</v>
      </c>
      <c r="D28" s="68">
        <f>J4</f>
        <v>339200</v>
      </c>
      <c r="E28" s="23">
        <f>D28</f>
        <v>339200</v>
      </c>
    </row>
    <row r="29" spans="1:21" ht="15.75" thickBot="1" x14ac:dyDescent="0.3">
      <c r="A29" s="17"/>
      <c r="B29" s="18" t="s">
        <v>38</v>
      </c>
      <c r="C29" s="19"/>
      <c r="D29" s="20">
        <f>D28*N22</f>
        <v>506595.2</v>
      </c>
      <c r="E29" s="24">
        <f>+D29</f>
        <v>506595.2</v>
      </c>
      <c r="I29" s="230" t="s">
        <v>126</v>
      </c>
      <c r="J29" s="243"/>
      <c r="K29" s="231"/>
      <c r="L29" s="230" t="s">
        <v>128</v>
      </c>
      <c r="M29" s="243"/>
      <c r="N29" s="231"/>
      <c r="P29" s="230" t="s">
        <v>126</v>
      </c>
      <c r="Q29" s="243"/>
      <c r="R29" s="231"/>
      <c r="S29" s="230" t="s">
        <v>128</v>
      </c>
      <c r="T29" s="243"/>
      <c r="U29" s="231"/>
    </row>
    <row r="30" spans="1:21" x14ac:dyDescent="0.25">
      <c r="A30" s="14" t="s">
        <v>74</v>
      </c>
      <c r="B30" s="69" t="s">
        <v>26</v>
      </c>
      <c r="C30" s="22">
        <f>C28</f>
        <v>19734.935483870966</v>
      </c>
      <c r="D30" s="68">
        <f>J5</f>
        <v>83233</v>
      </c>
      <c r="E30" s="23">
        <f>+D30</f>
        <v>83233</v>
      </c>
      <c r="I30" s="47"/>
      <c r="J30" s="207" t="s">
        <v>141</v>
      </c>
      <c r="K30" s="40" t="s">
        <v>121</v>
      </c>
      <c r="L30" s="40"/>
      <c r="M30" s="40"/>
      <c r="N30" s="203"/>
      <c r="P30" s="177" t="s">
        <v>10</v>
      </c>
      <c r="Q30" s="45">
        <v>451.04</v>
      </c>
      <c r="R30" s="45">
        <v>0</v>
      </c>
      <c r="S30" s="45">
        <v>0</v>
      </c>
      <c r="T30" s="45">
        <v>451.04</v>
      </c>
      <c r="U30" s="46"/>
    </row>
    <row r="31" spans="1:21" x14ac:dyDescent="0.25">
      <c r="A31" s="17"/>
      <c r="B31" s="18" t="s">
        <v>38</v>
      </c>
      <c r="C31" s="19"/>
      <c r="D31" s="20">
        <f>D30*N23</f>
        <v>143626.85999999999</v>
      </c>
      <c r="E31" s="24">
        <f>+D31</f>
        <v>143626.85999999999</v>
      </c>
      <c r="I31" s="47"/>
      <c r="J31" s="40" t="s">
        <v>142</v>
      </c>
      <c r="K31" s="40" t="s">
        <v>122</v>
      </c>
      <c r="L31" s="40"/>
      <c r="M31" s="40"/>
      <c r="N31" s="203"/>
      <c r="P31" s="47" t="s">
        <v>36</v>
      </c>
      <c r="Q31" s="40">
        <v>0</v>
      </c>
      <c r="R31" s="40">
        <v>97427.7</v>
      </c>
      <c r="S31" s="40">
        <v>0</v>
      </c>
      <c r="T31" s="40">
        <v>97427.7</v>
      </c>
      <c r="U31" s="209"/>
    </row>
    <row r="32" spans="1:21" x14ac:dyDescent="0.25">
      <c r="A32" s="105" t="s">
        <v>13</v>
      </c>
      <c r="B32" s="70" t="s">
        <v>37</v>
      </c>
      <c r="C32" s="15"/>
      <c r="D32" s="213">
        <f>MIN(J8,J9)</f>
        <v>1015</v>
      </c>
      <c r="E32" s="213">
        <f>MIN(J8,J9)</f>
        <v>1015</v>
      </c>
      <c r="I32" s="47"/>
      <c r="J32" s="40" t="s">
        <v>143</v>
      </c>
      <c r="K32" s="40" t="s">
        <v>123</v>
      </c>
      <c r="L32" s="40"/>
      <c r="M32" s="40"/>
      <c r="N32" s="203"/>
      <c r="P32" s="47" t="s">
        <v>39</v>
      </c>
      <c r="Q32" s="40">
        <v>0</v>
      </c>
      <c r="R32" s="40">
        <v>0</v>
      </c>
      <c r="S32" s="40">
        <v>101739.52</v>
      </c>
      <c r="T32" s="40">
        <v>101739.52</v>
      </c>
      <c r="U32" s="203"/>
    </row>
    <row r="33" spans="1:22" x14ac:dyDescent="0.25">
      <c r="A33" s="17"/>
      <c r="B33" s="29" t="s">
        <v>38</v>
      </c>
      <c r="C33" s="19"/>
      <c r="D33" s="30">
        <f>D32*O24</f>
        <v>353768.1</v>
      </c>
      <c r="E33" s="24">
        <f>D33</f>
        <v>353768.1</v>
      </c>
      <c r="G33" s="35"/>
      <c r="I33" s="47"/>
      <c r="J33" s="40" t="s">
        <v>144</v>
      </c>
      <c r="K33" s="40" t="s">
        <v>121</v>
      </c>
      <c r="L33" s="40"/>
      <c r="M33" s="40"/>
      <c r="N33" s="203"/>
      <c r="P33" s="47" t="s">
        <v>9</v>
      </c>
      <c r="Q33" s="40">
        <v>0</v>
      </c>
      <c r="R33" s="40">
        <v>0</v>
      </c>
      <c r="S33" s="40">
        <v>4771.91</v>
      </c>
      <c r="T33" s="40">
        <v>4771.91</v>
      </c>
      <c r="U33" s="203"/>
    </row>
    <row r="34" spans="1:22" x14ac:dyDescent="0.25">
      <c r="A34" s="14" t="s">
        <v>40</v>
      </c>
      <c r="B34" s="69" t="s">
        <v>26</v>
      </c>
      <c r="C34" s="22">
        <f>C22</f>
        <v>19734.935483870966</v>
      </c>
      <c r="D34" s="68">
        <f>D22</f>
        <v>611783</v>
      </c>
      <c r="E34" s="23">
        <f>+D34</f>
        <v>611783</v>
      </c>
      <c r="I34" s="47"/>
      <c r="J34" s="40" t="s">
        <v>145</v>
      </c>
      <c r="K34" s="40" t="s">
        <v>122</v>
      </c>
      <c r="L34" s="40"/>
      <c r="M34" s="40"/>
      <c r="N34" s="203"/>
      <c r="P34" s="47" t="s">
        <v>129</v>
      </c>
      <c r="Q34" s="40" t="s">
        <v>130</v>
      </c>
      <c r="R34" s="40">
        <v>0</v>
      </c>
      <c r="S34" s="40">
        <v>0</v>
      </c>
      <c r="T34" s="40">
        <v>144909.56</v>
      </c>
      <c r="U34" s="203">
        <v>144909.56</v>
      </c>
    </row>
    <row r="35" spans="1:22" x14ac:dyDescent="0.25">
      <c r="A35" s="17"/>
      <c r="B35" s="18" t="s">
        <v>38</v>
      </c>
      <c r="C35" s="19"/>
      <c r="D35" s="20">
        <f>D34*M21</f>
        <v>3303.63</v>
      </c>
      <c r="E35" s="24">
        <f>+D35</f>
        <v>3303.63</v>
      </c>
      <c r="I35" s="47"/>
      <c r="J35" s="40" t="s">
        <v>146</v>
      </c>
      <c r="K35" s="40" t="s">
        <v>123</v>
      </c>
      <c r="L35" s="40"/>
      <c r="M35" s="40"/>
      <c r="N35" s="203"/>
      <c r="P35" s="47" t="s">
        <v>129</v>
      </c>
      <c r="Q35" s="40" t="s">
        <v>131</v>
      </c>
      <c r="R35" s="40">
        <v>0</v>
      </c>
      <c r="S35" s="40">
        <v>0</v>
      </c>
      <c r="T35" s="40">
        <v>506595.2</v>
      </c>
      <c r="U35" s="203">
        <v>506595.2</v>
      </c>
    </row>
    <row r="36" spans="1:22" x14ac:dyDescent="0.25">
      <c r="C36" s="2" t="s">
        <v>55</v>
      </c>
      <c r="I36" s="47"/>
      <c r="J36" s="40" t="s">
        <v>69</v>
      </c>
      <c r="K36" s="40"/>
      <c r="L36" s="40"/>
      <c r="M36" s="40"/>
      <c r="N36" s="203"/>
      <c r="P36" s="47" t="s">
        <v>129</v>
      </c>
      <c r="Q36" s="40" t="s">
        <v>132</v>
      </c>
      <c r="R36" s="40">
        <v>0</v>
      </c>
      <c r="S36" s="40">
        <v>0</v>
      </c>
      <c r="T36" s="40">
        <v>143626.85999999999</v>
      </c>
      <c r="U36" s="203">
        <v>143626.85999999999</v>
      </c>
    </row>
    <row r="37" spans="1:22" x14ac:dyDescent="0.25">
      <c r="A37" s="31" t="s">
        <v>10</v>
      </c>
      <c r="B37" s="101">
        <f>E19</f>
        <v>451.04</v>
      </c>
      <c r="C37" s="102">
        <v>495.59</v>
      </c>
      <c r="D37" t="s">
        <v>41</v>
      </c>
      <c r="E37" t="s">
        <v>42</v>
      </c>
      <c r="I37" s="47"/>
      <c r="J37" s="40" t="s">
        <v>31</v>
      </c>
      <c r="K37" s="40"/>
      <c r="L37" s="40"/>
      <c r="M37" s="40"/>
      <c r="N37" s="203"/>
      <c r="P37" s="47" t="s">
        <v>13</v>
      </c>
      <c r="Q37" s="40">
        <v>0</v>
      </c>
      <c r="R37" s="40">
        <v>353768.1</v>
      </c>
      <c r="S37" s="40">
        <v>0</v>
      </c>
      <c r="T37" s="40">
        <v>353768.1</v>
      </c>
      <c r="U37" s="203"/>
    </row>
    <row r="38" spans="1:22" x14ac:dyDescent="0.25">
      <c r="A38" s="104" t="s">
        <v>36</v>
      </c>
      <c r="B38" s="103">
        <f>E21</f>
        <v>97427.7</v>
      </c>
      <c r="C38" s="102">
        <v>2020.32</v>
      </c>
      <c r="D38" t="s">
        <v>43</v>
      </c>
      <c r="E38" t="s">
        <v>44</v>
      </c>
      <c r="I38" s="47"/>
      <c r="J38" s="40" t="s">
        <v>147</v>
      </c>
      <c r="K38" s="40" t="s">
        <v>124</v>
      </c>
      <c r="L38" s="40" t="s">
        <v>125</v>
      </c>
      <c r="M38" s="40" t="s">
        <v>6</v>
      </c>
      <c r="N38" s="203"/>
      <c r="P38" s="47" t="s">
        <v>114</v>
      </c>
      <c r="Q38" s="40">
        <v>0</v>
      </c>
      <c r="R38" s="40">
        <v>0</v>
      </c>
      <c r="S38" s="40">
        <v>3303.63</v>
      </c>
      <c r="T38" s="40">
        <v>3303.63</v>
      </c>
      <c r="U38" s="203"/>
    </row>
    <row r="39" spans="1:22" ht="15.75" thickBot="1" x14ac:dyDescent="0.3">
      <c r="A39" s="32" t="s">
        <v>39</v>
      </c>
      <c r="B39" s="33">
        <f>E23</f>
        <v>101739.51999999999</v>
      </c>
      <c r="C39" s="5">
        <v>1541.56</v>
      </c>
      <c r="I39" s="47"/>
      <c r="J39" s="208">
        <v>189350</v>
      </c>
      <c r="K39" s="40"/>
      <c r="L39" s="40"/>
      <c r="M39" s="40"/>
      <c r="N39" s="203"/>
      <c r="P39" s="51" t="s">
        <v>35</v>
      </c>
      <c r="Q39" s="52">
        <v>451.04</v>
      </c>
      <c r="R39" s="210">
        <v>451195.8</v>
      </c>
      <c r="S39" s="210">
        <v>904946.68</v>
      </c>
      <c r="T39" s="210">
        <v>1356593.52</v>
      </c>
      <c r="U39" s="206"/>
    </row>
    <row r="40" spans="1:22" ht="15.75" thickBot="1" x14ac:dyDescent="0.3">
      <c r="A40" s="32" t="s">
        <v>9</v>
      </c>
      <c r="B40" s="33">
        <f>E25</f>
        <v>4771.91</v>
      </c>
      <c r="C40" s="5">
        <v>88.5</v>
      </c>
      <c r="I40" s="47"/>
      <c r="J40" s="208">
        <v>339200</v>
      </c>
      <c r="K40" s="40"/>
      <c r="L40" s="40"/>
      <c r="M40" s="40"/>
      <c r="N40" s="203"/>
    </row>
    <row r="41" spans="1:22" x14ac:dyDescent="0.25">
      <c r="A41" s="32" t="s">
        <v>75</v>
      </c>
      <c r="B41" s="33">
        <f>E27</f>
        <v>144909.56</v>
      </c>
      <c r="C41" s="5">
        <v>3417.59</v>
      </c>
      <c r="D41" t="s">
        <v>46</v>
      </c>
      <c r="E41" s="34">
        <f>3/5*((90/J11)-1)</f>
        <v>-4.723737080426E-2</v>
      </c>
      <c r="I41" s="47"/>
      <c r="J41" s="208">
        <v>83233</v>
      </c>
      <c r="K41" s="40"/>
      <c r="L41" s="40"/>
      <c r="M41" s="40"/>
      <c r="N41" s="203"/>
      <c r="P41" s="234" t="s">
        <v>111</v>
      </c>
      <c r="Q41" s="235"/>
      <c r="R41" s="235"/>
      <c r="S41" s="235"/>
      <c r="T41" s="235"/>
      <c r="U41" s="235"/>
      <c r="V41" s="236"/>
    </row>
    <row r="42" spans="1:22" x14ac:dyDescent="0.25">
      <c r="A42" s="92" t="s">
        <v>73</v>
      </c>
      <c r="B42" s="35">
        <f>E29</f>
        <v>506595.2</v>
      </c>
      <c r="C42" s="5">
        <v>13173.37</v>
      </c>
      <c r="E42" s="34">
        <f>ROUND(E41,3)</f>
        <v>-4.7E-2</v>
      </c>
      <c r="I42" s="47"/>
      <c r="J42" s="208">
        <v>1016</v>
      </c>
      <c r="K42" s="40"/>
      <c r="L42" s="40"/>
      <c r="M42" s="40"/>
      <c r="N42" s="203"/>
      <c r="P42" s="237"/>
      <c r="Q42" s="238"/>
      <c r="R42" s="238"/>
      <c r="S42" s="238"/>
      <c r="T42" s="238"/>
      <c r="U42" s="238"/>
      <c r="V42" s="239"/>
    </row>
    <row r="43" spans="1:22" ht="15.75" thickBot="1" x14ac:dyDescent="0.3">
      <c r="A43" s="92" t="s">
        <v>74</v>
      </c>
      <c r="B43" s="35">
        <f>E31</f>
        <v>143626.85999999999</v>
      </c>
      <c r="C43" s="93">
        <v>1600.17</v>
      </c>
      <c r="D43" t="s">
        <v>91</v>
      </c>
      <c r="E43">
        <f>1/4*((1-(90/J11)))</f>
        <v>1.9682237835108335E-2</v>
      </c>
      <c r="H43" s="35"/>
      <c r="I43" s="47"/>
      <c r="J43" s="208">
        <v>1030</v>
      </c>
      <c r="K43" s="40"/>
      <c r="L43" s="40"/>
      <c r="M43" s="40"/>
      <c r="N43" s="203"/>
      <c r="P43" s="240"/>
      <c r="Q43" s="241"/>
      <c r="R43" s="241"/>
      <c r="S43" s="241"/>
      <c r="T43" s="241"/>
      <c r="U43" s="241"/>
      <c r="V43" s="242"/>
    </row>
    <row r="44" spans="1:22" ht="15.75" thickBot="1" x14ac:dyDescent="0.3">
      <c r="A44" s="104" t="s">
        <v>13</v>
      </c>
      <c r="B44" s="103">
        <f>E33</f>
        <v>353768.1</v>
      </c>
      <c r="C44" s="102">
        <v>10673.06</v>
      </c>
      <c r="E44">
        <f>ROUND(E43,3)*-1</f>
        <v>-0.02</v>
      </c>
      <c r="I44" s="47"/>
      <c r="J44" s="208">
        <v>1015</v>
      </c>
      <c r="K44" s="40"/>
      <c r="L44" s="40"/>
      <c r="M44" s="40"/>
      <c r="N44" s="203"/>
      <c r="P44" s="183" t="s">
        <v>33</v>
      </c>
      <c r="Q44" s="184" t="s">
        <v>38</v>
      </c>
      <c r="R44" s="184" t="s">
        <v>20</v>
      </c>
      <c r="S44" s="184" t="s">
        <v>19</v>
      </c>
      <c r="T44" s="184" t="s">
        <v>112</v>
      </c>
      <c r="U44" s="185" t="s">
        <v>113</v>
      </c>
      <c r="V44" s="186"/>
    </row>
    <row r="45" spans="1:22" ht="15.75" thickBot="1" x14ac:dyDescent="0.3">
      <c r="A45" s="32" t="s">
        <v>40</v>
      </c>
      <c r="B45" s="33">
        <f>E35</f>
        <v>3303.63</v>
      </c>
      <c r="C45" s="5">
        <v>52.52</v>
      </c>
      <c r="I45" s="47"/>
      <c r="J45" s="208">
        <v>1030</v>
      </c>
      <c r="K45" s="40"/>
      <c r="L45" s="40"/>
      <c r="M45" s="40"/>
      <c r="N45" s="203"/>
      <c r="P45" s="187" t="s">
        <v>10</v>
      </c>
      <c r="Q45" s="188">
        <f>Q30</f>
        <v>451.04</v>
      </c>
      <c r="R45" s="188">
        <f>R30</f>
        <v>0</v>
      </c>
      <c r="S45" s="188">
        <f>S30</f>
        <v>0</v>
      </c>
      <c r="T45" s="188">
        <f>T30</f>
        <v>451.04</v>
      </c>
      <c r="U45" s="221"/>
      <c r="V45" s="222"/>
    </row>
    <row r="46" spans="1:22" x14ac:dyDescent="0.25">
      <c r="A46" s="32" t="s">
        <v>47</v>
      </c>
      <c r="B46" s="36">
        <f>SUM(B37:B45)</f>
        <v>1356593.5199999998</v>
      </c>
      <c r="C46" s="44">
        <f>SUM(C37:C45)</f>
        <v>33062.679999999993</v>
      </c>
      <c r="D46" s="35"/>
      <c r="E46" s="35"/>
      <c r="I46" s="47"/>
      <c r="J46" s="208">
        <v>133794</v>
      </c>
      <c r="K46" s="40"/>
      <c r="L46" s="40"/>
      <c r="M46" s="40"/>
      <c r="N46" s="203"/>
      <c r="P46" s="187" t="s">
        <v>36</v>
      </c>
      <c r="Q46" s="188">
        <f t="shared" ref="Q46:T53" si="2">Q31</f>
        <v>0</v>
      </c>
      <c r="R46" s="188">
        <f t="shared" si="2"/>
        <v>97427.7</v>
      </c>
      <c r="S46" s="188">
        <f t="shared" si="2"/>
        <v>0</v>
      </c>
      <c r="T46" s="188">
        <f t="shared" si="2"/>
        <v>97427.7</v>
      </c>
      <c r="U46" s="223">
        <f>R46/R21</f>
        <v>94.59</v>
      </c>
      <c r="V46" s="224"/>
    </row>
    <row r="47" spans="1:22" ht="15.75" thickBot="1" x14ac:dyDescent="0.3">
      <c r="A47" s="32" t="s">
        <v>48</v>
      </c>
      <c r="B47" s="37"/>
      <c r="I47" s="51"/>
      <c r="J47" s="52">
        <v>97.69</v>
      </c>
      <c r="K47" s="52"/>
      <c r="L47" s="52"/>
      <c r="M47" s="52"/>
      <c r="N47" s="206"/>
      <c r="P47" s="187" t="s">
        <v>39</v>
      </c>
      <c r="Q47" s="188">
        <f t="shared" si="2"/>
        <v>0</v>
      </c>
      <c r="R47" s="188">
        <f t="shared" si="2"/>
        <v>0</v>
      </c>
      <c r="S47" s="188">
        <f t="shared" si="2"/>
        <v>101739.52</v>
      </c>
      <c r="T47" s="188">
        <f t="shared" si="2"/>
        <v>101739.52</v>
      </c>
      <c r="U47" s="227">
        <f>S47/R23</f>
        <v>0.16630001160542218</v>
      </c>
      <c r="V47" s="228"/>
    </row>
    <row r="48" spans="1:22" x14ac:dyDescent="0.25">
      <c r="A48" s="17" t="s">
        <v>24</v>
      </c>
      <c r="B48" s="38"/>
      <c r="P48" s="190" t="s">
        <v>9</v>
      </c>
      <c r="Q48" s="188">
        <f t="shared" si="2"/>
        <v>0</v>
      </c>
      <c r="R48" s="188">
        <f t="shared" si="2"/>
        <v>0</v>
      </c>
      <c r="S48" s="188">
        <f t="shared" si="2"/>
        <v>4771.91</v>
      </c>
      <c r="T48" s="188">
        <f t="shared" si="2"/>
        <v>4771.91</v>
      </c>
      <c r="U48" s="225">
        <f>S48/R23</f>
        <v>7.8000042498729124E-3</v>
      </c>
      <c r="V48" s="226"/>
    </row>
    <row r="49" spans="1:22" ht="15.75" thickBot="1" x14ac:dyDescent="0.3">
      <c r="B49" s="39"/>
      <c r="P49" s="190" t="s">
        <v>75</v>
      </c>
      <c r="Q49" s="188">
        <f>R34</f>
        <v>0</v>
      </c>
      <c r="R49" s="188">
        <f>S34</f>
        <v>0</v>
      </c>
      <c r="S49" s="188">
        <f>T34</f>
        <v>144909.56</v>
      </c>
      <c r="T49" s="188">
        <f>U34</f>
        <v>144909.56</v>
      </c>
      <c r="U49" s="225">
        <f>S49/J39</f>
        <v>0.76530002640612615</v>
      </c>
      <c r="V49" s="226"/>
    </row>
    <row r="50" spans="1:22" x14ac:dyDescent="0.25">
      <c r="A50" s="54" t="s">
        <v>49</v>
      </c>
      <c r="B50" s="46"/>
      <c r="C50" s="54" t="s">
        <v>50</v>
      </c>
      <c r="D50" s="45"/>
      <c r="E50" s="46"/>
      <c r="P50" s="190" t="s">
        <v>133</v>
      </c>
      <c r="Q50" s="188">
        <f t="shared" ref="Q50:T51" si="3">R35</f>
        <v>0</v>
      </c>
      <c r="R50" s="188">
        <f t="shared" si="3"/>
        <v>0</v>
      </c>
      <c r="S50" s="188">
        <f t="shared" si="3"/>
        <v>506595.2</v>
      </c>
      <c r="T50" s="188">
        <f t="shared" si="3"/>
        <v>506595.2</v>
      </c>
      <c r="U50" s="225">
        <f t="shared" ref="U50:U51" si="4">S50/J40</f>
        <v>1.4935</v>
      </c>
      <c r="V50" s="226"/>
    </row>
    <row r="51" spans="1:22" x14ac:dyDescent="0.25">
      <c r="A51" s="47" t="s">
        <v>47</v>
      </c>
      <c r="B51" s="48">
        <f>B46</f>
        <v>1356593.5199999998</v>
      </c>
      <c r="C51" s="47" t="s">
        <v>51</v>
      </c>
      <c r="D51" s="40"/>
      <c r="E51" s="48">
        <f>C46</f>
        <v>33062.679999999993</v>
      </c>
      <c r="P51" s="190" t="s">
        <v>134</v>
      </c>
      <c r="Q51" s="188">
        <f t="shared" si="3"/>
        <v>0</v>
      </c>
      <c r="R51" s="188">
        <f t="shared" si="3"/>
        <v>0</v>
      </c>
      <c r="S51" s="188">
        <f t="shared" si="3"/>
        <v>143626.85999999999</v>
      </c>
      <c r="T51" s="188">
        <f t="shared" si="3"/>
        <v>143626.85999999999</v>
      </c>
      <c r="U51" s="225">
        <f t="shared" si="4"/>
        <v>1.7255999423305659</v>
      </c>
      <c r="V51" s="226"/>
    </row>
    <row r="52" spans="1:22" x14ac:dyDescent="0.25">
      <c r="A52" s="47" t="s">
        <v>52</v>
      </c>
      <c r="B52" s="48">
        <v>0</v>
      </c>
      <c r="C52" s="47" t="s">
        <v>52</v>
      </c>
      <c r="D52" s="40"/>
      <c r="E52" s="49">
        <f>E51*0.02</f>
        <v>661.25359999999989</v>
      </c>
      <c r="P52" s="190" t="s">
        <v>13</v>
      </c>
      <c r="Q52" s="188">
        <f t="shared" si="2"/>
        <v>0</v>
      </c>
      <c r="R52" s="188">
        <f t="shared" ref="R52:R54" si="5">R37</f>
        <v>353768.1</v>
      </c>
      <c r="S52" s="188">
        <f t="shared" ref="S52:S54" si="6">S37</f>
        <v>0</v>
      </c>
      <c r="T52" s="188">
        <f t="shared" ref="T52:T53" si="7">T37</f>
        <v>353768.1</v>
      </c>
      <c r="U52" s="227">
        <f>R52/R22</f>
        <v>348.53999999999996</v>
      </c>
      <c r="V52" s="228"/>
    </row>
    <row r="53" spans="1:22" ht="15.75" thickBot="1" x14ac:dyDescent="0.3">
      <c r="A53" s="47" t="s">
        <v>30</v>
      </c>
      <c r="B53" s="48">
        <f>SUM(B51:B52)*E44</f>
        <v>-27131.870399999996</v>
      </c>
      <c r="C53" s="47" t="s">
        <v>30</v>
      </c>
      <c r="D53" s="40"/>
      <c r="E53" s="50">
        <f>SUM(E51:E52)*(-E44)</f>
        <v>674.47867199999985</v>
      </c>
      <c r="P53" s="190" t="s">
        <v>114</v>
      </c>
      <c r="Q53" s="188">
        <f t="shared" si="2"/>
        <v>0</v>
      </c>
      <c r="R53" s="188">
        <f t="shared" si="5"/>
        <v>0</v>
      </c>
      <c r="S53" s="188">
        <f t="shared" si="6"/>
        <v>3303.63</v>
      </c>
      <c r="T53" s="188">
        <f t="shared" si="7"/>
        <v>3303.63</v>
      </c>
      <c r="U53" s="219">
        <f>S53/R23</f>
        <v>5.4000029422197086E-3</v>
      </c>
      <c r="V53" s="220"/>
    </row>
    <row r="54" spans="1:22" ht="16.5" thickBot="1" x14ac:dyDescent="0.3">
      <c r="A54" s="47" t="s">
        <v>53</v>
      </c>
      <c r="B54" s="48">
        <f>SUM(B51:B53)</f>
        <v>1329461.6495999999</v>
      </c>
      <c r="C54" s="47" t="s">
        <v>53</v>
      </c>
      <c r="D54" s="40"/>
      <c r="E54" s="48">
        <f>SUM(E51:E53)</f>
        <v>34398.412271999987</v>
      </c>
      <c r="P54" s="191" t="s">
        <v>35</v>
      </c>
      <c r="Q54" s="192">
        <f t="shared" ref="Q54" si="8">Q39</f>
        <v>451.04</v>
      </c>
      <c r="R54" s="192">
        <f t="shared" si="5"/>
        <v>451195.8</v>
      </c>
      <c r="S54" s="192">
        <f t="shared" si="6"/>
        <v>904946.68</v>
      </c>
      <c r="T54" s="192">
        <f>T39</f>
        <v>1356593.52</v>
      </c>
      <c r="U54" s="258"/>
      <c r="V54" s="259"/>
    </row>
    <row r="55" spans="1:22" x14ac:dyDescent="0.25">
      <c r="A55" s="47" t="s">
        <v>54</v>
      </c>
      <c r="B55" s="48">
        <f>B54*0.16</f>
        <v>212713.86393599998</v>
      </c>
      <c r="C55" s="47" t="s">
        <v>54</v>
      </c>
      <c r="D55" s="40"/>
      <c r="E55" s="48">
        <f>E54*0.16</f>
        <v>5503.7459635199984</v>
      </c>
    </row>
    <row r="56" spans="1:22" ht="15.75" thickBot="1" x14ac:dyDescent="0.3">
      <c r="A56" s="51" t="s">
        <v>35</v>
      </c>
      <c r="B56" s="53">
        <f>SUM(B54:B55)</f>
        <v>1542175.5135359999</v>
      </c>
      <c r="C56" s="94" t="s">
        <v>76</v>
      </c>
      <c r="E56" s="35">
        <f>SUM(E54:E55)</f>
        <v>39902.158235519986</v>
      </c>
    </row>
    <row r="57" spans="1:22" x14ac:dyDescent="0.25">
      <c r="A57" t="s">
        <v>77</v>
      </c>
      <c r="B57" s="35">
        <v>1005.57</v>
      </c>
      <c r="C57" s="94" t="s">
        <v>92</v>
      </c>
      <c r="E57" s="35">
        <v>1644.04</v>
      </c>
    </row>
    <row r="58" spans="1:22" ht="15.75" thickBot="1" x14ac:dyDescent="0.3">
      <c r="A58" t="s">
        <v>35</v>
      </c>
      <c r="B58" s="35">
        <f>SUM(B56:B57)</f>
        <v>1543181.083536</v>
      </c>
      <c r="C58" s="51" t="s">
        <v>35</v>
      </c>
      <c r="D58" s="52"/>
      <c r="E58" s="53">
        <f>SUM(E56:E57)</f>
        <v>41546.198235519987</v>
      </c>
      <c r="G58" s="5">
        <v>39786.32</v>
      </c>
    </row>
  </sheetData>
  <mergeCells count="18">
    <mergeCell ref="U51:V51"/>
    <mergeCell ref="U52:V52"/>
    <mergeCell ref="U53:V53"/>
    <mergeCell ref="U54:V54"/>
    <mergeCell ref="R3:S3"/>
    <mergeCell ref="T3:W3"/>
    <mergeCell ref="U45:V45"/>
    <mergeCell ref="U46:V46"/>
    <mergeCell ref="U47:V47"/>
    <mergeCell ref="U48:V48"/>
    <mergeCell ref="U49:V49"/>
    <mergeCell ref="U50:V50"/>
    <mergeCell ref="P41:V43"/>
    <mergeCell ref="I29:K29"/>
    <mergeCell ref="G1:J1"/>
    <mergeCell ref="L29:N29"/>
    <mergeCell ref="P29:R29"/>
    <mergeCell ref="S29:U29"/>
  </mergeCells>
  <hyperlinks>
    <hyperlink ref="C16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showGridLines="0" tabSelected="1" topLeftCell="B16" zoomScale="145" zoomScaleNormal="145" workbookViewId="0">
      <selection activeCell="G36" sqref="G36"/>
    </sheetView>
  </sheetViews>
  <sheetFormatPr baseColWidth="10" defaultRowHeight="15" x14ac:dyDescent="0.25"/>
  <cols>
    <col min="3" max="3" width="16" customWidth="1"/>
    <col min="4" max="4" width="11.42578125" customWidth="1"/>
    <col min="7" max="7" width="13.42578125" bestFit="1" customWidth="1"/>
    <col min="10" max="10" width="16.42578125" customWidth="1"/>
    <col min="11" max="11" width="4.140625" customWidth="1"/>
    <col min="12" max="12" width="0.85546875" customWidth="1"/>
  </cols>
  <sheetData>
    <row r="1" spans="3:12" ht="15.75" thickBot="1" x14ac:dyDescent="0.3"/>
    <row r="2" spans="3:12" ht="21.75" customHeight="1" x14ac:dyDescent="0.25">
      <c r="C2" s="247" t="s">
        <v>105</v>
      </c>
      <c r="D2" s="248"/>
      <c r="E2" s="248"/>
      <c r="F2" s="248"/>
      <c r="G2" s="248"/>
      <c r="H2" s="248"/>
      <c r="I2" s="248"/>
      <c r="J2" s="248"/>
      <c r="K2" s="248"/>
      <c r="L2" s="249"/>
    </row>
    <row r="3" spans="3:12" x14ac:dyDescent="0.25">
      <c r="C3" s="117"/>
      <c r="D3" s="118"/>
      <c r="E3" s="118"/>
      <c r="F3" s="118"/>
      <c r="G3" s="118"/>
      <c r="H3" s="118"/>
      <c r="I3" s="118"/>
      <c r="J3" s="118"/>
      <c r="K3" s="118"/>
      <c r="L3" s="119"/>
    </row>
    <row r="4" spans="3:12" x14ac:dyDescent="0.25">
      <c r="C4" s="117"/>
      <c r="D4" s="118"/>
      <c r="E4" s="118"/>
      <c r="F4" s="118"/>
      <c r="G4" s="118"/>
      <c r="H4" s="118"/>
      <c r="I4" s="118"/>
      <c r="J4" s="118"/>
      <c r="K4" s="118"/>
      <c r="L4" s="119"/>
    </row>
    <row r="5" spans="3:12" x14ac:dyDescent="0.25">
      <c r="C5" s="117"/>
      <c r="D5" s="118"/>
      <c r="E5" s="118"/>
      <c r="F5" s="118"/>
      <c r="G5" s="118"/>
      <c r="H5" s="118"/>
      <c r="I5" s="118"/>
      <c r="J5" s="118"/>
      <c r="K5" s="118"/>
      <c r="L5" s="119"/>
    </row>
    <row r="6" spans="3:12" x14ac:dyDescent="0.25">
      <c r="C6" s="117"/>
      <c r="D6" s="118"/>
      <c r="E6" s="118"/>
      <c r="F6" s="118"/>
      <c r="G6" s="118"/>
      <c r="H6" s="118"/>
      <c r="I6" s="118"/>
      <c r="J6" s="118"/>
      <c r="K6" s="118"/>
      <c r="L6" s="119"/>
    </row>
    <row r="7" spans="3:12" x14ac:dyDescent="0.25">
      <c r="C7" s="117"/>
      <c r="D7" s="118"/>
      <c r="E7" s="118"/>
      <c r="F7" s="118"/>
      <c r="G7" s="118"/>
      <c r="H7" s="118"/>
      <c r="I7" s="118"/>
      <c r="J7" s="118"/>
      <c r="K7" s="118"/>
      <c r="L7" s="119"/>
    </row>
    <row r="8" spans="3:12" ht="15.75" thickBot="1" x14ac:dyDescent="0.3">
      <c r="C8" s="117"/>
      <c r="D8" s="118"/>
      <c r="E8" s="118"/>
      <c r="F8" s="118"/>
      <c r="G8" s="118"/>
      <c r="H8" s="118"/>
      <c r="I8" s="118"/>
      <c r="J8" s="118"/>
      <c r="K8" s="118"/>
      <c r="L8" s="119"/>
    </row>
    <row r="9" spans="3:12" ht="24" thickBot="1" x14ac:dyDescent="0.4">
      <c r="C9" s="194" t="str">
        <f>GDMTH!T3</f>
        <v xml:space="preserve">    |LEAR CORPORATION MEXICO SA CV</v>
      </c>
      <c r="D9" s="118"/>
      <c r="E9" s="118"/>
      <c r="F9" s="118"/>
      <c r="G9" s="118"/>
      <c r="H9" s="263">
        <f>J36</f>
        <v>1543181.0835360002</v>
      </c>
      <c r="I9" s="264"/>
      <c r="J9" s="265"/>
      <c r="K9" s="118"/>
      <c r="L9" s="119"/>
    </row>
    <row r="10" spans="3:12" x14ac:dyDescent="0.25">
      <c r="C10" s="117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3:12" x14ac:dyDescent="0.25">
      <c r="C11" s="117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3:12" x14ac:dyDescent="0.25">
      <c r="C12" s="117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3:12" ht="15.75" x14ac:dyDescent="0.25">
      <c r="C13" s="117"/>
      <c r="D13" s="118"/>
      <c r="E13" s="118"/>
      <c r="F13" s="253">
        <f>GDMTH!J3</f>
        <v>189350</v>
      </c>
      <c r="G13" s="253"/>
      <c r="H13" s="253"/>
      <c r="I13" s="118"/>
      <c r="J13" s="118"/>
      <c r="K13" s="118"/>
      <c r="L13" s="119"/>
    </row>
    <row r="14" spans="3:12" ht="15.75" x14ac:dyDescent="0.25">
      <c r="C14" s="117"/>
      <c r="D14" s="118"/>
      <c r="E14" s="118"/>
      <c r="F14" s="254">
        <f>GDMTH!J4</f>
        <v>339200</v>
      </c>
      <c r="G14" s="254"/>
      <c r="H14" s="254"/>
      <c r="I14" s="118"/>
      <c r="J14" s="118"/>
      <c r="K14" s="118"/>
      <c r="L14" s="119"/>
    </row>
    <row r="15" spans="3:12" ht="15.75" x14ac:dyDescent="0.25">
      <c r="C15" s="117"/>
      <c r="D15" s="118"/>
      <c r="E15" s="118"/>
      <c r="F15" s="253">
        <f>GDMTH!J5</f>
        <v>83233</v>
      </c>
      <c r="G15" s="253"/>
      <c r="H15" s="253"/>
      <c r="I15" s="118"/>
      <c r="J15" s="118"/>
      <c r="K15" s="118"/>
      <c r="L15" s="119"/>
    </row>
    <row r="16" spans="3:12" ht="15.75" x14ac:dyDescent="0.25">
      <c r="C16" s="117"/>
      <c r="D16" s="118"/>
      <c r="E16" s="118"/>
      <c r="F16" s="246">
        <f>SUM(F13:G15)</f>
        <v>611783</v>
      </c>
      <c r="G16" s="246"/>
      <c r="H16" s="246"/>
      <c r="I16" s="118"/>
      <c r="J16" s="118"/>
      <c r="K16" s="118"/>
      <c r="L16" s="119"/>
    </row>
    <row r="17" spans="2:12" ht="15.75" x14ac:dyDescent="0.25">
      <c r="C17" s="117"/>
      <c r="D17" s="118"/>
      <c r="E17" s="118"/>
      <c r="F17" s="266">
        <f>GDMTH!J11</f>
        <v>97.691119384407486</v>
      </c>
      <c r="G17" s="266"/>
      <c r="H17" s="266"/>
      <c r="I17" s="118"/>
      <c r="J17" s="118"/>
      <c r="K17" s="118"/>
      <c r="L17" s="119"/>
    </row>
    <row r="18" spans="2:12" x14ac:dyDescent="0.25">
      <c r="C18" s="117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2:12" x14ac:dyDescent="0.25">
      <c r="C19" s="117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2:12" x14ac:dyDescent="0.25">
      <c r="C20" s="117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2:12" ht="15.75" x14ac:dyDescent="0.25">
      <c r="C21" s="117"/>
      <c r="D21" s="118"/>
      <c r="E21" s="118"/>
      <c r="F21" s="261">
        <f>GDMTH!J6</f>
        <v>1016</v>
      </c>
      <c r="G21" s="261"/>
      <c r="H21" s="261"/>
      <c r="I21" s="118"/>
      <c r="J21" s="118"/>
      <c r="K21" s="118"/>
      <c r="L21" s="119"/>
    </row>
    <row r="22" spans="2:12" ht="15.75" x14ac:dyDescent="0.25">
      <c r="C22" s="117"/>
      <c r="D22" s="118"/>
      <c r="E22" s="118"/>
      <c r="F22" s="260">
        <f>GDMTH!J7</f>
        <v>1030</v>
      </c>
      <c r="G22" s="260"/>
      <c r="H22" s="260"/>
      <c r="I22" s="118"/>
      <c r="J22" s="118"/>
      <c r="K22" s="118"/>
      <c r="L22" s="119"/>
    </row>
    <row r="23" spans="2:12" ht="15.75" x14ac:dyDescent="0.25">
      <c r="C23" s="117"/>
      <c r="D23" s="118"/>
      <c r="E23" s="118"/>
      <c r="F23" s="261">
        <f>GDMTH!J8</f>
        <v>1015</v>
      </c>
      <c r="G23" s="261"/>
      <c r="H23" s="261"/>
      <c r="I23" s="118"/>
      <c r="J23" s="118"/>
      <c r="K23" s="118"/>
      <c r="L23" s="119"/>
    </row>
    <row r="24" spans="2:12" x14ac:dyDescent="0.25">
      <c r="C24" s="117"/>
      <c r="D24" s="118"/>
      <c r="E24" s="118"/>
      <c r="F24" s="262"/>
      <c r="G24" s="262"/>
      <c r="H24" s="118"/>
      <c r="I24" s="118"/>
      <c r="J24" s="118"/>
      <c r="K24" s="118"/>
      <c r="L24" s="119"/>
    </row>
    <row r="25" spans="2:12" x14ac:dyDescent="0.25">
      <c r="C25" s="117"/>
      <c r="D25" s="118"/>
      <c r="E25" s="118"/>
      <c r="F25" s="118"/>
      <c r="G25" s="118"/>
      <c r="H25" s="118"/>
      <c r="I25" s="118"/>
      <c r="J25" s="118"/>
      <c r="K25" s="118"/>
      <c r="L25" s="119"/>
    </row>
    <row r="26" spans="2:12" x14ac:dyDescent="0.25">
      <c r="C26" s="117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2:12" x14ac:dyDescent="0.25">
      <c r="C27" s="117"/>
      <c r="D27" s="121">
        <f>GDMTH!L20</f>
        <v>451.04</v>
      </c>
      <c r="E27" s="122"/>
      <c r="F27" s="122"/>
      <c r="G27" s="157">
        <f>D27</f>
        <v>451.04</v>
      </c>
      <c r="H27" s="118"/>
      <c r="I27" s="123"/>
      <c r="J27" s="124">
        <f>D27</f>
        <v>451.04</v>
      </c>
      <c r="K27" s="118"/>
      <c r="L27" s="119"/>
    </row>
    <row r="28" spans="2:12" x14ac:dyDescent="0.25">
      <c r="B28" s="115"/>
      <c r="C28" s="117"/>
      <c r="D28" s="125">
        <f>GDMTH!J24</f>
        <v>94.59</v>
      </c>
      <c r="E28" s="126"/>
      <c r="F28" s="127">
        <f>GDMTH!R21</f>
        <v>1030</v>
      </c>
      <c r="G28" s="156">
        <f>D28*F28</f>
        <v>97427.7</v>
      </c>
      <c r="H28" s="118"/>
      <c r="I28" s="118"/>
      <c r="J28" s="128">
        <f>SUM(G28:G35)</f>
        <v>1356142.48</v>
      </c>
      <c r="K28" s="118"/>
      <c r="L28" s="119"/>
    </row>
    <row r="29" spans="2:12" x14ac:dyDescent="0.25">
      <c r="C29" s="117"/>
      <c r="D29" s="129">
        <f>GDMTH!I21</f>
        <v>0.16630001160542218</v>
      </c>
      <c r="E29" s="130">
        <f>F16</f>
        <v>611783</v>
      </c>
      <c r="F29" s="122"/>
      <c r="G29" s="158">
        <f>D29*E29</f>
        <v>101739.52</v>
      </c>
      <c r="H29" s="118"/>
      <c r="I29" s="123"/>
      <c r="J29" s="131">
        <f>GDMTH!B52</f>
        <v>0</v>
      </c>
      <c r="K29" s="118"/>
      <c r="L29" s="119"/>
    </row>
    <row r="30" spans="2:12" x14ac:dyDescent="0.25">
      <c r="C30" s="117"/>
      <c r="D30" s="132">
        <f>GDMTH!K21</f>
        <v>7.8000042498729124E-3</v>
      </c>
      <c r="E30" s="133">
        <f>F16</f>
        <v>611783</v>
      </c>
      <c r="F30" s="126"/>
      <c r="G30" s="156">
        <f t="shared" ref="G30:G33" si="0">D30*E30</f>
        <v>4771.91</v>
      </c>
      <c r="H30" s="118"/>
      <c r="I30" s="118"/>
      <c r="J30" s="134">
        <f>SUM(J27:J28)</f>
        <v>1356593.52</v>
      </c>
      <c r="K30" s="118"/>
      <c r="L30" s="119"/>
    </row>
    <row r="31" spans="2:12" x14ac:dyDescent="0.25">
      <c r="C31" s="117"/>
      <c r="D31" s="129">
        <f>GDMTH!N21</f>
        <v>0.76530002640612615</v>
      </c>
      <c r="E31" s="130">
        <f>F13</f>
        <v>189350</v>
      </c>
      <c r="F31" s="122"/>
      <c r="G31" s="158">
        <f t="shared" si="0"/>
        <v>144909.56</v>
      </c>
      <c r="H31" s="118"/>
      <c r="I31" s="123"/>
      <c r="J31" s="135">
        <f>GDMTH!B53</f>
        <v>-27131.870399999996</v>
      </c>
      <c r="K31" s="118"/>
      <c r="L31" s="119"/>
    </row>
    <row r="32" spans="2:12" x14ac:dyDescent="0.25">
      <c r="C32" s="117"/>
      <c r="D32" s="132">
        <f>GDMTH!N22</f>
        <v>1.4935</v>
      </c>
      <c r="E32" s="133">
        <f t="shared" ref="E32:E33" si="1">F14</f>
        <v>339200</v>
      </c>
      <c r="F32" s="126"/>
      <c r="G32" s="156">
        <f t="shared" si="0"/>
        <v>506595.2</v>
      </c>
      <c r="H32" s="118"/>
      <c r="I32" s="118"/>
      <c r="J32" s="134">
        <f>J30+J29+J31</f>
        <v>1329461.6496000001</v>
      </c>
      <c r="K32" s="118"/>
      <c r="L32" s="119"/>
    </row>
    <row r="33" spans="3:13" x14ac:dyDescent="0.25">
      <c r="C33" s="117"/>
      <c r="D33" s="129">
        <f>GDMTH!N23</f>
        <v>1.7255999423305659</v>
      </c>
      <c r="E33" s="130">
        <f t="shared" si="1"/>
        <v>83233</v>
      </c>
      <c r="F33" s="122"/>
      <c r="G33" s="158">
        <f t="shared" si="0"/>
        <v>143626.85999999999</v>
      </c>
      <c r="H33" s="118"/>
      <c r="I33" s="123"/>
      <c r="J33" s="135">
        <f>GDMTH!B55</f>
        <v>212713.86393599998</v>
      </c>
      <c r="K33" s="118"/>
      <c r="L33" s="119"/>
    </row>
    <row r="34" spans="3:13" x14ac:dyDescent="0.25">
      <c r="C34" s="117"/>
      <c r="D34" s="136">
        <f>GDMTH!O24</f>
        <v>348.53999999999996</v>
      </c>
      <c r="E34" s="126"/>
      <c r="F34" s="127">
        <f>GDMTH!R22</f>
        <v>1015</v>
      </c>
      <c r="G34" s="156">
        <f t="shared" ref="G34" si="2">D34*F34</f>
        <v>353768.1</v>
      </c>
      <c r="H34" s="118"/>
      <c r="I34" s="118"/>
      <c r="J34" s="134">
        <f>J32+J33</f>
        <v>1542175.5135360002</v>
      </c>
      <c r="K34" s="118"/>
      <c r="L34" s="119"/>
    </row>
    <row r="35" spans="3:13" x14ac:dyDescent="0.25">
      <c r="C35" s="117"/>
      <c r="D35" s="137">
        <f>GDMTH!M21</f>
        <v>5.4000029422197086E-3</v>
      </c>
      <c r="E35" s="130">
        <f>F16</f>
        <v>611783</v>
      </c>
      <c r="F35" s="122"/>
      <c r="G35" s="158">
        <f>D35*E35</f>
        <v>3303.63</v>
      </c>
      <c r="H35" s="118"/>
      <c r="I35" s="123"/>
      <c r="J35" s="138">
        <f>GDMTH!B57</f>
        <v>1005.57</v>
      </c>
      <c r="K35" s="118"/>
      <c r="L35" s="119"/>
    </row>
    <row r="36" spans="3:13" x14ac:dyDescent="0.25">
      <c r="C36" s="117"/>
      <c r="D36" s="126"/>
      <c r="E36" s="126"/>
      <c r="F36" s="126"/>
      <c r="G36" s="143">
        <f>SUM(G27:G35)</f>
        <v>1356593.5199999998</v>
      </c>
      <c r="H36" s="118"/>
      <c r="I36" s="118"/>
      <c r="J36" s="142">
        <f>J34+J35</f>
        <v>1543181.0835360002</v>
      </c>
      <c r="K36" s="118"/>
      <c r="L36" s="119"/>
    </row>
    <row r="37" spans="3:13" ht="8.25" customHeight="1" x14ac:dyDescent="0.25">
      <c r="C37" s="117"/>
      <c r="D37" s="118"/>
      <c r="E37" s="118"/>
      <c r="F37" s="118"/>
      <c r="G37" s="118"/>
      <c r="H37" s="118"/>
      <c r="I37" s="118"/>
      <c r="J37" s="118"/>
      <c r="K37" s="118"/>
      <c r="L37" s="119"/>
    </row>
    <row r="38" spans="3:13" ht="15.75" thickBot="1" x14ac:dyDescent="0.3">
      <c r="C38" s="139"/>
      <c r="D38" s="140"/>
      <c r="E38" s="140"/>
      <c r="F38" s="140"/>
      <c r="G38" s="140"/>
      <c r="H38" s="140"/>
      <c r="I38" s="244" t="s">
        <v>120</v>
      </c>
      <c r="J38" s="244"/>
      <c r="K38" s="244"/>
      <c r="L38" s="141"/>
      <c r="M38" s="40"/>
    </row>
    <row r="39" spans="3:13" x14ac:dyDescent="0.25"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3:13" x14ac:dyDescent="0.25"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3:13" x14ac:dyDescent="0.25"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</sheetData>
  <mergeCells count="12">
    <mergeCell ref="I38:K38"/>
    <mergeCell ref="F22:H22"/>
    <mergeCell ref="F23:H23"/>
    <mergeCell ref="C2:L2"/>
    <mergeCell ref="F24:G24"/>
    <mergeCell ref="H9:J9"/>
    <mergeCell ref="F13:H13"/>
    <mergeCell ref="F14:H14"/>
    <mergeCell ref="F15:H15"/>
    <mergeCell ref="F16:H16"/>
    <mergeCell ref="F21:H21"/>
    <mergeCell ref="F17:H17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G28" sqref="G28"/>
    </sheetView>
  </sheetViews>
  <sheetFormatPr baseColWidth="10" defaultRowHeight="15" x14ac:dyDescent="0.25"/>
  <sheetData>
    <row r="2" spans="2:5" x14ac:dyDescent="0.25">
      <c r="B2" s="31" t="s">
        <v>63</v>
      </c>
      <c r="C2" s="15"/>
      <c r="D2" s="79"/>
      <c r="E2" s="79">
        <v>1000</v>
      </c>
    </row>
    <row r="3" spans="2:5" x14ac:dyDescent="0.25">
      <c r="B3" s="32" t="s">
        <v>64</v>
      </c>
      <c r="C3" s="40"/>
      <c r="D3" s="95"/>
      <c r="E3" s="106">
        <v>1000</v>
      </c>
    </row>
    <row r="4" spans="2:5" x14ac:dyDescent="0.25">
      <c r="B4" s="17" t="s">
        <v>65</v>
      </c>
      <c r="C4" s="19"/>
      <c r="D4" s="29"/>
      <c r="E4" s="29">
        <v>1000</v>
      </c>
    </row>
    <row r="5" spans="2:5" x14ac:dyDescent="0.25">
      <c r="B5" s="31" t="s">
        <v>66</v>
      </c>
      <c r="C5" s="15"/>
      <c r="D5" s="15"/>
      <c r="E5" s="79">
        <v>0</v>
      </c>
    </row>
    <row r="6" spans="2:5" x14ac:dyDescent="0.25">
      <c r="B6" s="32" t="s">
        <v>67</v>
      </c>
      <c r="C6" s="84"/>
      <c r="D6" s="40"/>
      <c r="E6" s="78">
        <v>0</v>
      </c>
    </row>
    <row r="7" spans="2:5" x14ac:dyDescent="0.25">
      <c r="B7" s="17" t="s">
        <v>68</v>
      </c>
      <c r="C7" s="96"/>
      <c r="D7" s="19"/>
      <c r="E7" s="18">
        <v>0</v>
      </c>
    </row>
    <row r="8" spans="2:5" x14ac:dyDescent="0.25">
      <c r="B8" s="31" t="s">
        <v>69</v>
      </c>
      <c r="C8" s="22"/>
      <c r="D8" s="15"/>
      <c r="E8" s="107">
        <v>0</v>
      </c>
    </row>
    <row r="9" spans="2:5" x14ac:dyDescent="0.25">
      <c r="B9" s="32" t="s">
        <v>31</v>
      </c>
      <c r="C9" s="84"/>
      <c r="D9" s="40"/>
      <c r="E9" s="78">
        <v>5000</v>
      </c>
    </row>
    <row r="10" spans="2:5" x14ac:dyDescent="0.25">
      <c r="B10" s="17" t="s">
        <v>30</v>
      </c>
      <c r="C10" s="96"/>
      <c r="D10" s="19"/>
      <c r="E10" s="96">
        <f>(COS(ATAN(E9/(E3+E2+E4)))*100)</f>
        <v>51.449575542752648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workbookViewId="0">
      <selection activeCell="D17" sqref="D17"/>
    </sheetView>
  </sheetViews>
  <sheetFormatPr baseColWidth="10" defaultRowHeight="15" x14ac:dyDescent="0.25"/>
  <cols>
    <col min="3" max="3" width="11.5703125" customWidth="1"/>
    <col min="4" max="4" width="12.140625" bestFit="1" customWidth="1"/>
    <col min="5" max="5" width="17.5703125" bestFit="1" customWidth="1"/>
    <col min="7" max="7" width="9.28515625" bestFit="1" customWidth="1"/>
  </cols>
  <sheetData>
    <row r="3" spans="2:7" x14ac:dyDescent="0.25">
      <c r="B3" s="31" t="s">
        <v>63</v>
      </c>
      <c r="C3" s="15"/>
      <c r="D3" s="79"/>
      <c r="E3" s="79">
        <v>1000</v>
      </c>
    </row>
    <row r="4" spans="2:7" x14ac:dyDescent="0.25">
      <c r="B4" s="32" t="s">
        <v>64</v>
      </c>
      <c r="C4" s="40"/>
      <c r="D4" s="95"/>
      <c r="E4" s="106">
        <v>1000</v>
      </c>
    </row>
    <row r="5" spans="2:7" x14ac:dyDescent="0.25">
      <c r="B5" s="17" t="s">
        <v>65</v>
      </c>
      <c r="C5" s="19"/>
      <c r="D5" s="29"/>
      <c r="E5" s="29">
        <v>1000</v>
      </c>
    </row>
    <row r="6" spans="2:7" x14ac:dyDescent="0.25">
      <c r="B6" s="31" t="s">
        <v>66</v>
      </c>
      <c r="C6" s="15"/>
      <c r="D6" s="15"/>
      <c r="E6" s="79">
        <v>0</v>
      </c>
    </row>
    <row r="7" spans="2:7" x14ac:dyDescent="0.25">
      <c r="B7" s="32" t="s">
        <v>67</v>
      </c>
      <c r="C7" s="84"/>
      <c r="D7" s="40"/>
      <c r="E7" s="78">
        <v>0</v>
      </c>
    </row>
    <row r="8" spans="2:7" x14ac:dyDescent="0.25">
      <c r="B8" s="17" t="s">
        <v>68</v>
      </c>
      <c r="C8" s="96"/>
      <c r="D8" s="19"/>
      <c r="E8" s="18">
        <v>0</v>
      </c>
    </row>
    <row r="9" spans="2:7" x14ac:dyDescent="0.25">
      <c r="B9" s="31" t="s">
        <v>69</v>
      </c>
      <c r="C9" s="22"/>
      <c r="D9" s="15"/>
      <c r="E9" s="107">
        <v>0</v>
      </c>
    </row>
    <row r="10" spans="2:7" x14ac:dyDescent="0.25">
      <c r="B10" s="32" t="s">
        <v>31</v>
      </c>
      <c r="C10" s="84"/>
      <c r="D10" s="40"/>
      <c r="E10" s="78">
        <v>100</v>
      </c>
    </row>
    <row r="11" spans="2:7" x14ac:dyDescent="0.25">
      <c r="B11" s="17" t="s">
        <v>30</v>
      </c>
      <c r="C11" s="96"/>
      <c r="D11" s="19"/>
      <c r="E11" s="96">
        <f>(COS(ATAN(E10/(E4+E3+E5)))*100)</f>
        <v>99.944490697915427</v>
      </c>
    </row>
    <row r="14" spans="2:7" x14ac:dyDescent="0.25">
      <c r="C14" t="s">
        <v>104</v>
      </c>
    </row>
    <row r="15" spans="2:7" x14ac:dyDescent="0.25">
      <c r="C15" t="s">
        <v>26</v>
      </c>
      <c r="G15" s="114">
        <v>43191</v>
      </c>
    </row>
    <row r="16" spans="2:7" x14ac:dyDescent="0.25">
      <c r="B16" t="s">
        <v>102</v>
      </c>
      <c r="C16" t="s">
        <v>103</v>
      </c>
      <c r="D16">
        <v>99.94</v>
      </c>
      <c r="G16">
        <v>0</v>
      </c>
    </row>
    <row r="17" spans="3:7" x14ac:dyDescent="0.25">
      <c r="C17" t="s">
        <v>43</v>
      </c>
      <c r="D17">
        <v>75</v>
      </c>
    </row>
    <row r="19" spans="3:7" x14ac:dyDescent="0.25">
      <c r="D19" t="s">
        <v>41</v>
      </c>
      <c r="E19" t="s">
        <v>42</v>
      </c>
      <c r="F19">
        <f>1/4*((1-(90/D16)))</f>
        <v>2.4864918951370829E-2</v>
      </c>
      <c r="G19" s="18"/>
    </row>
    <row r="20" spans="3:7" x14ac:dyDescent="0.25">
      <c r="F20">
        <f>ROUND(F19,3)</f>
        <v>2.5000000000000001E-2</v>
      </c>
      <c r="G20" s="1"/>
    </row>
    <row r="21" spans="3:7" x14ac:dyDescent="0.25">
      <c r="D21" t="s">
        <v>43</v>
      </c>
      <c r="E21" t="s">
        <v>44</v>
      </c>
      <c r="F21">
        <f>3/5*((90/D17)-1)</f>
        <v>0.11999999999999997</v>
      </c>
    </row>
    <row r="22" spans="3:7" x14ac:dyDescent="0.25">
      <c r="F22">
        <f>ROUND(F21,3)</f>
        <v>0.12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workbookViewId="0">
      <selection activeCell="C11" sqref="C11"/>
    </sheetView>
  </sheetViews>
  <sheetFormatPr baseColWidth="10" defaultRowHeight="15" x14ac:dyDescent="0.25"/>
  <cols>
    <col min="2" max="2" width="14.42578125" bestFit="1" customWidth="1"/>
    <col min="3" max="3" width="17" bestFit="1" customWidth="1"/>
    <col min="4" max="4" width="14.5703125" bestFit="1" customWidth="1"/>
    <col min="10" max="10" width="11.42578125" customWidth="1"/>
    <col min="11" max="11" width="14.42578125" bestFit="1" customWidth="1"/>
  </cols>
  <sheetData>
    <row r="3" spans="2:11" ht="15.75" thickBot="1" x14ac:dyDescent="0.3"/>
    <row r="4" spans="2:11" ht="15.75" thickBot="1" x14ac:dyDescent="0.3">
      <c r="J4" s="230" t="s">
        <v>99</v>
      </c>
      <c r="K4" s="231"/>
    </row>
    <row r="5" spans="2:11" x14ac:dyDescent="0.25">
      <c r="J5" t="s">
        <v>1</v>
      </c>
      <c r="K5" t="s">
        <v>90</v>
      </c>
    </row>
    <row r="6" spans="2:11" x14ac:dyDescent="0.25">
      <c r="B6" t="s">
        <v>90</v>
      </c>
      <c r="C6" s="267" t="s">
        <v>95</v>
      </c>
      <c r="D6" s="267"/>
      <c r="E6" s="267"/>
      <c r="J6">
        <v>1</v>
      </c>
      <c r="K6" t="s">
        <v>100</v>
      </c>
    </row>
    <row r="7" spans="2:11" x14ac:dyDescent="0.25">
      <c r="C7" t="s">
        <v>96</v>
      </c>
      <c r="D7" s="1" t="s">
        <v>98</v>
      </c>
      <c r="E7" s="1" t="s">
        <v>97</v>
      </c>
      <c r="J7">
        <v>2</v>
      </c>
      <c r="K7" t="s">
        <v>100</v>
      </c>
    </row>
    <row r="8" spans="2:11" x14ac:dyDescent="0.25">
      <c r="J8">
        <v>3</v>
      </c>
      <c r="K8" t="s">
        <v>100</v>
      </c>
    </row>
    <row r="9" spans="2:11" x14ac:dyDescent="0.25">
      <c r="J9">
        <v>4</v>
      </c>
      <c r="K9" t="s">
        <v>100</v>
      </c>
    </row>
    <row r="10" spans="2:11" x14ac:dyDescent="0.25">
      <c r="J10">
        <v>5</v>
      </c>
      <c r="K10" t="s">
        <v>100</v>
      </c>
    </row>
    <row r="11" spans="2:11" x14ac:dyDescent="0.25">
      <c r="B11" t="s">
        <v>101</v>
      </c>
      <c r="J11">
        <v>6</v>
      </c>
      <c r="K11" t="s">
        <v>100</v>
      </c>
    </row>
    <row r="12" spans="2:11" x14ac:dyDescent="0.25">
      <c r="J12">
        <v>7</v>
      </c>
      <c r="K12" t="s">
        <v>100</v>
      </c>
    </row>
  </sheetData>
  <mergeCells count="2">
    <mergeCell ref="C6:E6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GDMTO</vt:lpstr>
      <vt:lpstr>Recibo-GDMTO</vt:lpstr>
      <vt:lpstr>GDMTH</vt:lpstr>
      <vt:lpstr>Recibo-GDMTH</vt:lpstr>
      <vt:lpstr>FP</vt:lpstr>
      <vt:lpstr>FP Bonif o Pena</vt:lpstr>
      <vt:lpstr>Factor de Carga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lugo gracida</dc:creator>
  <cp:lastModifiedBy>Carlos Daniel Rodriguez</cp:lastModifiedBy>
  <dcterms:created xsi:type="dcterms:W3CDTF">2018-09-24T20:17:18Z</dcterms:created>
  <dcterms:modified xsi:type="dcterms:W3CDTF">2019-06-05T21:10:05Z</dcterms:modified>
</cp:coreProperties>
</file>